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55" activeTab="1"/>
  </bookViews>
  <sheets>
    <sheet name="Porównanie" sheetId="1" r:id="rId1"/>
    <sheet name="tabela" sheetId="2" r:id="rId2"/>
    <sheet name="y" sheetId="3" state="hidden" r:id="rId3"/>
    <sheet name="m-c" sheetId="4" state="hidden" r:id="rId4"/>
    <sheet name="m-c (2)" sheetId="5" state="hidden" r:id="rId5"/>
    <sheet name="wsk" sheetId="6" state="hidden" r:id="rId6"/>
    <sheet name="skala" sheetId="7" state="hidden" r:id="rId7"/>
    <sheet name="notes" sheetId="8" state="hidden" r:id="rId8"/>
  </sheets>
  <definedNames>
    <definedName name="Obszar_do_druku">'y'!#REF!</definedName>
    <definedName name="_xlnm.Print_Area" localSheetId="2">'y'!#REF!</definedName>
    <definedName name="Obszar_wydruku_MI" localSheetId="2">'y'!#REF!</definedName>
  </definedNames>
  <calcPr fullCalcOnLoad="1"/>
</workbook>
</file>

<file path=xl/comments1.xml><?xml version="1.0" encoding="utf-8"?>
<comments xmlns="http://schemas.openxmlformats.org/spreadsheetml/2006/main">
  <authors>
    <author>PRZEMEK</author>
  </authors>
  <commentList>
    <comment ref="B6" authorId="0">
      <text>
        <r>
          <rPr>
            <sz val="8"/>
            <rFont val="Tahoma"/>
            <family val="0"/>
          </rPr>
          <t xml:space="preserve">wpisz wynagrodzenie
</t>
        </r>
      </text>
    </comment>
  </commentList>
</comments>
</file>

<file path=xl/comments3.xml><?xml version="1.0" encoding="utf-8"?>
<comments xmlns="http://schemas.openxmlformats.org/spreadsheetml/2006/main">
  <authors>
    <author>Adam Kostrzewa</author>
  </authors>
  <commentList>
    <comment ref="F5" authorId="0">
      <text>
        <r>
          <rPr>
            <b/>
            <sz val="10"/>
            <rFont val="Tahoma"/>
            <family val="0"/>
          </rPr>
          <t>Adam Kostrzewa:</t>
        </r>
        <r>
          <rPr>
            <sz val="10"/>
            <rFont val="Tahoma"/>
            <family val="0"/>
          </rPr>
          <t xml:space="preserve">
od tego nie pobiera się ZUS</t>
        </r>
      </text>
    </comment>
  </commentList>
</comments>
</file>

<file path=xl/comments4.xml><?xml version="1.0" encoding="utf-8"?>
<comments xmlns="http://schemas.openxmlformats.org/spreadsheetml/2006/main">
  <authors>
    <author>PRZEMEK</author>
  </authors>
  <commentList>
    <comment ref="N39" authorId="0">
      <text>
        <r>
          <rPr>
            <b/>
            <sz val="8"/>
            <rFont val="Tahoma"/>
            <family val="0"/>
          </rPr>
          <t>brak w tym przypadku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<sst xmlns="http://schemas.openxmlformats.org/spreadsheetml/2006/main" count="339" uniqueCount="163">
  <si>
    <t>Efekt po korektach średnio miesięcznie</t>
  </si>
  <si>
    <t>Wynagrodzenie podstawowe = 100</t>
  </si>
  <si>
    <t>Pracownik netto jako % kosztu pracodawcy</t>
  </si>
  <si>
    <t xml:space="preserve">Pracownik </t>
  </si>
  <si>
    <t>Umowa zlecenia</t>
  </si>
  <si>
    <t>samozatrudnienie</t>
  </si>
  <si>
    <t>Założenia:</t>
  </si>
  <si>
    <t>Pozostałe kolumny zawierają algorytmy obliczeń - nie należy ich zmieniać.</t>
  </si>
  <si>
    <t>L.p.</t>
  </si>
  <si>
    <t>Nazwisko i imię</t>
  </si>
  <si>
    <t>Płaca zasad.</t>
  </si>
  <si>
    <t>Premia</t>
  </si>
  <si>
    <t>Wynagr. za urlop</t>
  </si>
  <si>
    <t>Wynagr. chorob.</t>
  </si>
  <si>
    <t>Razem wynagr.</t>
  </si>
  <si>
    <t>Składka na ubezp. emeryt.</t>
  </si>
  <si>
    <t>Składka na ubezp. rentowe</t>
  </si>
  <si>
    <t>Składka na ubezp. chor.</t>
  </si>
  <si>
    <t>Razem skł. na ubezp. społ.</t>
  </si>
  <si>
    <t>Podst.oblicz.skł. na ub.zdrow.</t>
  </si>
  <si>
    <t>Składka na ubezp. zdrow.</t>
  </si>
  <si>
    <t>Koszt uzysk. przych.</t>
  </si>
  <si>
    <t>Podst.oblicz.zal.pod.doch.</t>
  </si>
  <si>
    <t>Kwota wolna od podatku</t>
  </si>
  <si>
    <t>Zaliczka pod. doch.</t>
  </si>
  <si>
    <t>Do wypłaty</t>
  </si>
  <si>
    <t>stawki</t>
  </si>
  <si>
    <t>umowa o pracę</t>
  </si>
  <si>
    <t xml:space="preserve">Łączny koszt wynagrodzenia  </t>
  </si>
  <si>
    <t xml:space="preserve">Wynagrodzenie brutto </t>
  </si>
  <si>
    <t>Potrącone z wynagrodzenia</t>
  </si>
  <si>
    <t xml:space="preserve">składka na ubezpieczenie emerytalne </t>
  </si>
  <si>
    <t xml:space="preserve">składka na ubezpieczenie rentowe </t>
  </si>
  <si>
    <t xml:space="preserve">składka na ubezpieczenie chorobowe </t>
  </si>
  <si>
    <t xml:space="preserve">składka na ubezpieczenie zdrowotne (cz. I) </t>
  </si>
  <si>
    <t xml:space="preserve">składka na ubezpieczenie zdrowotne (cz. II) </t>
  </si>
  <si>
    <t xml:space="preserve">zaliczka na podatek dochodowy od osób fizycznych </t>
  </si>
  <si>
    <t>Dopłacone przez Pracodawcę</t>
  </si>
  <si>
    <t xml:space="preserve">składka na ubezpieczenie wypadkowe </t>
  </si>
  <si>
    <t xml:space="preserve">składka na Fundusz Gwarantowanych Świadczeń Pracowniczych </t>
  </si>
  <si>
    <t xml:space="preserve">składka na Fundusz Pracy </t>
  </si>
  <si>
    <t>składka na Fundusz Gwarantowanych Świadczeń Pracowniczych</t>
  </si>
  <si>
    <t>składka na Fundusz Pracy</t>
  </si>
  <si>
    <t xml:space="preserve">Wynagrodzenie. które otrzymasz </t>
  </si>
  <si>
    <t>Wynagrodzenie z tytułu wykonywania umowy o pracę w ujęciu miesięcznym, liczone od brutto.</t>
  </si>
  <si>
    <t>(art. 22 ust. 2 ustawy z dnia 26 lipca 1991 r. o podatku dochodowym od osób fizycznych - Dz.U. z 2000 r. Nr 14, poz. 176 z późn. zm.).</t>
  </si>
  <si>
    <t xml:space="preserve">Koszty jeden zakład </t>
  </si>
  <si>
    <t xml:space="preserve">Miesięcznie </t>
  </si>
  <si>
    <t xml:space="preserve">Rocznie </t>
  </si>
  <si>
    <t xml:space="preserve">Koszty kilka zakładów </t>
  </si>
  <si>
    <t xml:space="preserve">Nie może przekroczyć rocznie </t>
  </si>
  <si>
    <t xml:space="preserve">Dojeżdżający jeden zakład </t>
  </si>
  <si>
    <t xml:space="preserve">Dojeżdżający kilka zakładów </t>
  </si>
  <si>
    <t>PRACODAWCA</t>
  </si>
  <si>
    <t>Składka na ubezp. wypadkowe</t>
  </si>
  <si>
    <t>Razem dopłacane przez pracodawcę</t>
  </si>
  <si>
    <t>Razem koszt pracodawcy</t>
  </si>
  <si>
    <t>Pracodawca</t>
  </si>
  <si>
    <t>umowa zlecenie</t>
  </si>
  <si>
    <t>UMOWA O PRACĘ</t>
  </si>
  <si>
    <t>UMOWA ZLECENIE</t>
  </si>
  <si>
    <t>SAMOZATRUDNIENIE</t>
  </si>
  <si>
    <t>http://www.zus.pl/niusy/inf008.htm</t>
  </si>
  <si>
    <t>UBEZPIECZENIE WYPADKOWE</t>
  </si>
  <si>
    <t>Wynagrodzenie brutto</t>
  </si>
  <si>
    <t>Koszty uzyskania</t>
  </si>
  <si>
    <t>ZUS cz. Pracownika</t>
  </si>
  <si>
    <t>Podstawa do opodatkowania</t>
  </si>
  <si>
    <t>Podatek</t>
  </si>
  <si>
    <t>Ubezpieczenie zdrowotne</t>
  </si>
  <si>
    <t>Wynagrodzenie netto</t>
  </si>
  <si>
    <t>Zus cz. Pracodawcy</t>
  </si>
  <si>
    <t>Koszty zatrudnienia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</si>
  <si>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</si>
  <si>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</si>
  <si>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</si>
  <si>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</si>
  <si>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</si>
  <si>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</si>
  <si>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</si>
  <si>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</si>
  <si>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</si>
  <si>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</si>
  <si>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</si>
  <si>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</si>
  <si>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</si>
  <si>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Składka na Fundusz Gwarantowanych Świadczeń Pracowniczych</t>
  </si>
  <si>
    <t>Składka na Fundusz Pracy</t>
  </si>
  <si>
    <t>Podstawa do opodatkowania narastająco</t>
  </si>
  <si>
    <t>Wynagrodzenie brutto narastająco</t>
  </si>
  <si>
    <t>Umowa o pracę</t>
  </si>
  <si>
    <t>Samozatrudnienie</t>
  </si>
  <si>
    <t>2. Koszt ZUS (miesięcznie)</t>
  </si>
  <si>
    <t>227 992 zł 48 gr + 50 % nadwyżki ponad 600 000 zł</t>
  </si>
  <si>
    <t>KOSZTY UZYSKANIA PRZYCHODU OBOWIĄZUJĄCE W LATACH 2004 i 2005</t>
  </si>
  <si>
    <t>10a</t>
  </si>
  <si>
    <t>10b</t>
  </si>
  <si>
    <t>10c</t>
  </si>
  <si>
    <t>13a</t>
  </si>
  <si>
    <t>b) Nie bierzemy pod uwage VAT</t>
  </si>
  <si>
    <t xml:space="preserve">Koszt zatrudnienia dla pracodawcy, a płaca netto pracownika </t>
  </si>
  <si>
    <r>
      <t>Uwaga !</t>
    </r>
    <r>
      <rPr>
        <sz val="10"/>
        <rFont val="Tahoma"/>
        <family val="2"/>
      </rPr>
      <t xml:space="preserve"> Dane należy wpisywać tylko w kolumny oznaczone kolorem żółtym.</t>
    </r>
  </si>
  <si>
    <t>Składka na ubezp. zdrow. (nie podlegajaca odliczeniu)</t>
  </si>
  <si>
    <t xml:space="preserve">do 29.02.2004 r. - 1296,01 zł, ub. zdrowotne - 1756,19 zł, </t>
  </si>
  <si>
    <t xml:space="preserve">do 31.05.2004 r. - 1366,10 zł, ub. zdrowotne - 1861,44 zł, </t>
  </si>
  <si>
    <t xml:space="preserve">do 31.08.2004 r. - 1399,30 zł, ub. zdrowotne - 1782,47 zł, </t>
  </si>
  <si>
    <t xml:space="preserve">do 30.11.2004 r. - 1338,32 zł, ub. zdrowotne - 1799,46 zł, </t>
  </si>
  <si>
    <t xml:space="preserve">do 28.02.2005 r. - 1361,96 zł, ub. zdrowotne - 1822,13 zł, </t>
  </si>
  <si>
    <t xml:space="preserve">do 31.05.2005 r. - 1443,28 zł, ub. zdrowotne - 1910,99 zł, </t>
  </si>
  <si>
    <t>do 30.11.2005 r. - 1391,12 zł, ub. zdrowotne - 1852,73 zł</t>
  </si>
  <si>
    <t xml:space="preserve">do 31.08.2005 r. - 1449,27 zł, ub. zdrowotne - 1818,93 zł, </t>
  </si>
  <si>
    <t>Ubezpieczenie zdrowotne (podlegajace odliczeniu)</t>
  </si>
  <si>
    <t>Ubezpieczenie zdrowotne (nie podlegajace odliczeniu)</t>
  </si>
  <si>
    <t>próg 1</t>
  </si>
  <si>
    <t>stopa 1</t>
  </si>
  <si>
    <t>ulga roczna</t>
  </si>
  <si>
    <t>próg 2</t>
  </si>
  <si>
    <t>stopa 2</t>
  </si>
  <si>
    <t>podatek 1</t>
  </si>
  <si>
    <t>podatek 2</t>
  </si>
  <si>
    <t>stopa 3</t>
  </si>
  <si>
    <t>ulga miesięczna</t>
  </si>
  <si>
    <t>2005 rozważany próg</t>
  </si>
  <si>
    <t>kwota wolna od podatku</t>
  </si>
  <si>
    <t>koszty uzysknia</t>
  </si>
  <si>
    <t>skala podatkowa</t>
  </si>
  <si>
    <r>
      <t xml:space="preserve">od </t>
    </r>
    <r>
      <rPr>
        <b/>
        <sz val="10"/>
        <rFont val="Tahoma"/>
        <family val="2"/>
      </rPr>
      <t xml:space="preserve">0,97% </t>
    </r>
    <r>
      <rPr>
        <sz val="10"/>
        <rFont val="Tahoma"/>
        <family val="2"/>
      </rPr>
      <t xml:space="preserve">do </t>
    </r>
    <r>
      <rPr>
        <b/>
        <sz val="10"/>
        <rFont val="Tahoma"/>
        <family val="2"/>
      </rPr>
      <t xml:space="preserve">3,86% </t>
    </r>
    <r>
      <rPr>
        <sz val="10"/>
        <rFont val="Tahoma"/>
        <family val="2"/>
      </rPr>
      <t>podstawy wymiaru.</t>
    </r>
  </si>
  <si>
    <t>ubezpieczenie emerytalne</t>
  </si>
  <si>
    <t>ubezpieczenia rentowe</t>
  </si>
  <si>
    <t>ubezpieczenie chorobowe</t>
  </si>
  <si>
    <t>ubezpieczenie wypadkowe od 1.01.2003 r. do 31.03.2006 r.</t>
  </si>
  <si>
    <t>Składka na ubezpieczenie zdrowotne</t>
  </si>
  <si>
    <t>kwota do podstawy wymiaru składek na ubezpieczenia społeczne i Fundusz Pracy nie może być niższa niż</t>
  </si>
  <si>
    <t>na ubezpieczenie emerytalne</t>
  </si>
  <si>
    <t>na ubezpieczenia rentowe</t>
  </si>
  <si>
    <t>na ubezpieczenie chorobowe</t>
  </si>
  <si>
    <t>kwota do podstawy wymiaru składki na ubezpieczenie zdrowotne nie może być niższa niż</t>
  </si>
  <si>
    <t>zdrowotne (tj. 8,25%)</t>
  </si>
  <si>
    <t>Kwota zmniejszająca podatek dla osób nie posiadających dochodów z innych źródeł</t>
  </si>
  <si>
    <t>umowa prawa autorskie</t>
  </si>
  <si>
    <t>Kwota rocznego ograniczenia podstawy wymiaru składek na ubezpieczenia emerytalne i rentowe</t>
  </si>
  <si>
    <t>zdrowotne (7,75%)</t>
  </si>
  <si>
    <t>podstawa?</t>
  </si>
  <si>
    <t>Składka nie może być niższa niż:</t>
  </si>
  <si>
    <t>fundusz pracy (tj. 2,45%)</t>
  </si>
  <si>
    <t>(tj. 250% przeciętnego miesięcznego wynagrodzenia w trzecim kwartale 2004 r.)</t>
  </si>
  <si>
    <t>Podstawa wymiaru składek na dobrowolne ubezpieczenie chorobowe w grudniu 2004 r. nie może przekroczyć</t>
  </si>
  <si>
    <t>historyczne podstawy wymiaru składek</t>
  </si>
  <si>
    <t>wymagana aktualizacja okresowa (kwartał - wg zmian w ZUS)</t>
  </si>
  <si>
    <t>Wynagrodzenie brutto rocznie</t>
  </si>
  <si>
    <t>Koszt ZUS rocznie</t>
  </si>
  <si>
    <t>1. Wynagrodzenie miesięczne podstawowe (brutto) w PLN</t>
  </si>
  <si>
    <t>3. PIT pracownika (miesięcznie)</t>
  </si>
  <si>
    <t>Efekt po korektach - koszt (1+2) / przychód (1-2-3)</t>
  </si>
  <si>
    <t>Całkowity koszt zatrudnienia na podstawie umowy o pracę, a płaca netto pracownika</t>
  </si>
  <si>
    <t>Pracownik</t>
  </si>
  <si>
    <t>Wynagrodzenie mies. podstawowe (brutto) w PLN</t>
  </si>
  <si>
    <t>Rocznie</t>
  </si>
  <si>
    <t>1. Koszt ZUS (rocznie)</t>
  </si>
  <si>
    <t>Efekt po korektach</t>
  </si>
  <si>
    <t>2. Koszt ZUS (miesięcznie, uśredniony)</t>
  </si>
  <si>
    <t>c) Przy samozatrudniemu nie bieżemy pod uwagę kosztów uzyskania (wyjątek, ujęcie tych kosztów tym bardziej poprawia wynik samozatrudnienia)</t>
  </si>
  <si>
    <t>a) Pracownik wykorzystuje 1 formę pracy, jest osobą samotną, nie jest emerytem, nie ma ulg budowlanych lub innych ulg i odpisów, założono pełny obowiązek ZUS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</si>
</sst>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-;#,##0&quot;zł&quot;\-"/>
    <numFmt numFmtId="165" formatCode="#,##0&quot;zł&quot;_-;[Red]#,##0&quot;zł&quot;\-"/>
    <numFmt numFmtId="166" formatCode="#,##0.00&quot;zł&quot;_-;#,##0.00&quot;zł&quot;\-"/>
    <numFmt numFmtId="167" formatCode="#,##0.00&quot;zł&quot;_-;[Red]#,##0.00&quot;zł&quot;\-"/>
    <numFmt numFmtId="168" formatCode="_-* #,##0&quot;zł&quot;_-;_-* #,##0&quot;zł&quot;\-;_-* &quot;-&quot;&quot;zł&quot;_-;_-@_-"/>
    <numFmt numFmtId="169" formatCode="_-* #,##0_z_ł_-;_-* #,##0_z_ł\-;_-* &quot;-&quot;_z_ł_-;_-@_-"/>
    <numFmt numFmtId="170" formatCode="_-* #,##0.00&quot;zł&quot;_-;_-* #,##0.00&quot;zł&quot;\-;_-* &quot;-&quot;??&quot;zł&quot;_-;_-@_-"/>
    <numFmt numFmtId="171" formatCode="_-* #,##0.00_z_ł_-;_-* #,##0.00_z_ł\-;_-* &quot;-&quot;??_z_ł_-;_-@_-"/>
    <numFmt numFmtId="172" formatCode="#,##0.00_);\(#,##0.00\)"/>
    <numFmt numFmtId="173" formatCode="dd/mmm/yy_)"/>
    <numFmt numFmtId="174" formatCode="0.00_)"/>
    <numFmt numFmtId="175" formatCode="0.00000_)"/>
    <numFmt numFmtId="176" formatCode="0.0000_)"/>
    <numFmt numFmtId="177" formatCode="#,##0.0\ &quot;zł&quot;;[Red]\-#,##0.0\ &quot;zł&quot;"/>
    <numFmt numFmtId="178" formatCode="#,##0.00_ ;[Red]\-#,##0.00\ "/>
    <numFmt numFmtId="179" formatCode="0.000"/>
    <numFmt numFmtId="180" formatCode="#,##0.000_ ;[Red]\-#,##0.000\ "/>
    <numFmt numFmtId="181" formatCode="#,##0.00\ &quot;zł&quot;"/>
    <numFmt numFmtId="182" formatCode="#,##0.0000\ &quot;zł&quot;"/>
    <numFmt numFmtId="183" formatCode="#,##0.000\ &quot;zł&quot;"/>
    <numFmt numFmtId="184" formatCode="#,##0.000_);\(#,##0.000\)"/>
    <numFmt numFmtId="185" formatCode="#,##0.0_ ;[Red]\-#,##0.0\ "/>
    <numFmt numFmtId="186" formatCode="#,##0_ ;[Red]\-#,##0\ "/>
    <numFmt numFmtId="187" formatCode="0.0%"/>
    <numFmt numFmtId="188" formatCode="#,##0.0000_);\(#,##0.0000\)"/>
    <numFmt numFmtId="189" formatCode="#,##0.0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#,##0.000\ &quot;zł&quot;;[Red]\-#,##0.000\ &quot;zł&quot;"/>
    <numFmt numFmtId="195" formatCode="#,##0.0000\ &quot;zł&quot;;[Red]\-#,##0.0000\ &quot;zł&quot;"/>
    <numFmt numFmtId="196" formatCode="#,##0.00000\ &quot;zł&quot;;[Red]\-#,##0.00000\ &quot;zł&quot;"/>
    <numFmt numFmtId="197" formatCode="#,##0.000000\ &quot;zł&quot;;[Red]\-#,##0.000000\ &quot;zł&quot;"/>
    <numFmt numFmtId="198" formatCode="#,##0.0000000\ &quot;zł&quot;;[Red]\-#,##0.0000000\ &quot;zł&quot;"/>
    <numFmt numFmtId="199" formatCode="#,##0.00000000\ &quot;zł&quot;;[Red]\-#,##0.00000000\ &quot;zł&quot;"/>
    <numFmt numFmtId="200" formatCode="#,##0.000000000\ &quot;zł&quot;;[Red]\-#,##0.000000000\ &quot;zł&quot;"/>
    <numFmt numFmtId="201" formatCode="#,##0.0000000000\ &quot;zł&quot;;[Red]\-#,##0.0000000000\ &quot;zł&quot;"/>
    <numFmt numFmtId="202" formatCode="0.0000"/>
    <numFmt numFmtId="203" formatCode="0.00000"/>
    <numFmt numFmtId="204" formatCode="0.0"/>
  </numFmts>
  <fonts count="21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Courier"/>
      <family val="0"/>
    </font>
    <font>
      <sz val="10"/>
      <name val="Courier"/>
      <family val="0"/>
    </font>
    <font>
      <u val="single"/>
      <sz val="7"/>
      <color indexed="36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sz val="10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10"/>
      <name val="Tahoma"/>
      <family val="2"/>
    </font>
    <font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2"/>
      <name val="Tahoma"/>
      <family val="2"/>
    </font>
    <font>
      <sz val="10"/>
      <color indexed="55"/>
      <name val="Tahoma"/>
      <family val="2"/>
    </font>
    <font>
      <i/>
      <sz val="9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9" fontId="7" fillId="0" borderId="0" xfId="20" applyFont="1" applyAlignment="1">
      <alignment/>
    </xf>
    <xf numFmtId="186" fontId="7" fillId="0" borderId="1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12" fillId="0" borderId="0" xfId="17" applyFont="1" applyAlignment="1">
      <alignment/>
    </xf>
    <xf numFmtId="0" fontId="7" fillId="0" borderId="0" xfId="18" applyFont="1">
      <alignment/>
      <protection/>
    </xf>
    <xf numFmtId="0" fontId="8" fillId="0" borderId="0" xfId="18" applyFont="1" applyFill="1">
      <alignment/>
      <protection/>
    </xf>
    <xf numFmtId="0" fontId="7" fillId="0" borderId="0" xfId="18" applyFont="1" applyFill="1">
      <alignment/>
      <protection/>
    </xf>
    <xf numFmtId="0" fontId="7" fillId="0" borderId="2" xfId="18" applyFont="1" applyBorder="1" applyAlignment="1" applyProtection="1">
      <alignment horizontal="center" vertical="center" wrapText="1"/>
      <protection/>
    </xf>
    <xf numFmtId="0" fontId="7" fillId="2" borderId="2" xfId="18" applyFont="1" applyFill="1" applyBorder="1" applyAlignment="1" applyProtection="1">
      <alignment horizontal="center" vertical="center" wrapText="1"/>
      <protection/>
    </xf>
    <xf numFmtId="0" fontId="7" fillId="0" borderId="2" xfId="18" applyFont="1" applyFill="1" applyBorder="1" applyAlignment="1" applyProtection="1">
      <alignment horizontal="center" vertical="center" wrapText="1"/>
      <protection/>
    </xf>
    <xf numFmtId="0" fontId="7" fillId="0" borderId="2" xfId="18" applyFont="1" applyBorder="1" applyProtection="1">
      <alignment/>
      <protection/>
    </xf>
    <xf numFmtId="0" fontId="7" fillId="0" borderId="2" xfId="18" applyFont="1" applyBorder="1" applyAlignment="1" applyProtection="1">
      <alignment horizontal="left"/>
      <protection/>
    </xf>
    <xf numFmtId="172" fontId="7" fillId="0" borderId="2" xfId="18" applyNumberFormat="1" applyFont="1" applyBorder="1" applyProtection="1">
      <alignment/>
      <protection/>
    </xf>
    <xf numFmtId="2" fontId="7" fillId="0" borderId="0" xfId="18" applyNumberFormat="1" applyFont="1">
      <alignment/>
      <protection/>
    </xf>
    <xf numFmtId="0" fontId="7" fillId="0" borderId="0" xfId="18" applyFont="1" applyBorder="1" applyProtection="1">
      <alignment/>
      <protection/>
    </xf>
    <xf numFmtId="0" fontId="7" fillId="0" borderId="0" xfId="18" applyFont="1" applyBorder="1" applyAlignment="1" applyProtection="1">
      <alignment horizontal="left"/>
      <protection/>
    </xf>
    <xf numFmtId="172" fontId="7" fillId="0" borderId="0" xfId="18" applyNumberFormat="1" applyFont="1" applyBorder="1" applyProtection="1">
      <alignment/>
      <protection/>
    </xf>
    <xf numFmtId="2" fontId="7" fillId="0" borderId="0" xfId="18" applyNumberFormat="1" applyFont="1" applyBorder="1">
      <alignment/>
      <protection/>
    </xf>
    <xf numFmtId="172" fontId="7" fillId="0" borderId="0" xfId="18" applyNumberFormat="1" applyFont="1" applyBorder="1">
      <alignment/>
      <protection/>
    </xf>
    <xf numFmtId="0" fontId="7" fillId="0" borderId="0" xfId="18" applyFont="1" applyBorder="1">
      <alignment/>
      <protection/>
    </xf>
    <xf numFmtId="0" fontId="8" fillId="0" borderId="0" xfId="18" applyFont="1" applyBorder="1" applyAlignment="1" applyProtection="1">
      <alignment horizontal="left"/>
      <protection/>
    </xf>
    <xf numFmtId="172" fontId="7" fillId="3" borderId="2" xfId="18" applyNumberFormat="1" applyFont="1" applyFill="1" applyBorder="1" applyProtection="1">
      <alignment/>
      <protection/>
    </xf>
    <xf numFmtId="172" fontId="7" fillId="4" borderId="2" xfId="18" applyNumberFormat="1" applyFont="1" applyFill="1" applyBorder="1" applyProtection="1">
      <alignment/>
      <protection/>
    </xf>
    <xf numFmtId="172" fontId="7" fillId="0" borderId="2" xfId="18" applyNumberFormat="1" applyFont="1" applyBorder="1">
      <alignment/>
      <protection/>
    </xf>
    <xf numFmtId="10" fontId="7" fillId="0" borderId="0" xfId="18" applyNumberFormat="1" applyFont="1">
      <alignment/>
      <protection/>
    </xf>
    <xf numFmtId="0" fontId="7" fillId="3" borderId="2" xfId="18" applyFont="1" applyFill="1" applyBorder="1" applyProtection="1">
      <alignment/>
      <protection/>
    </xf>
    <xf numFmtId="2" fontId="7" fillId="0" borderId="2" xfId="18" applyNumberFormat="1" applyFont="1" applyBorder="1" applyProtection="1">
      <alignment/>
      <protection/>
    </xf>
    <xf numFmtId="10" fontId="7" fillId="0" borderId="0" xfId="18" applyNumberFormat="1" applyFont="1" applyBorder="1">
      <alignment/>
      <protection/>
    </xf>
    <xf numFmtId="0" fontId="7" fillId="0" borderId="0" xfId="18" applyFont="1" applyAlignment="1">
      <alignment horizontal="right"/>
      <protection/>
    </xf>
    <xf numFmtId="0" fontId="8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7" fillId="5" borderId="0" xfId="0" applyFont="1" applyFill="1" applyAlignment="1">
      <alignment/>
    </xf>
    <xf numFmtId="181" fontId="7" fillId="0" borderId="0" xfId="0" applyNumberFormat="1" applyFont="1" applyAlignment="1">
      <alignment/>
    </xf>
    <xf numFmtId="181" fontId="7" fillId="0" borderId="3" xfId="0" applyNumberFormat="1" applyFont="1" applyBorder="1" applyAlignment="1">
      <alignment/>
    </xf>
    <xf numFmtId="0" fontId="7" fillId="0" borderId="0" xfId="0" applyFont="1" applyAlignment="1" applyProtection="1">
      <alignment vertical="top" wrapText="1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0" fontId="15" fillId="6" borderId="2" xfId="0" applyFont="1" applyFill="1" applyBorder="1" applyAlignment="1" applyProtection="1">
      <alignment vertical="center"/>
      <protection hidden="1"/>
    </xf>
    <xf numFmtId="181" fontId="16" fillId="6" borderId="2" xfId="0" applyNumberFormat="1" applyFont="1" applyFill="1" applyBorder="1" applyAlignment="1" applyProtection="1">
      <alignment vertical="center"/>
      <protection hidden="1"/>
    </xf>
    <xf numFmtId="181" fontId="15" fillId="6" borderId="2" xfId="0" applyNumberFormat="1" applyFont="1" applyFill="1" applyBorder="1" applyAlignment="1" applyProtection="1">
      <alignment vertical="center"/>
      <protection hidden="1"/>
    </xf>
    <xf numFmtId="18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2" xfId="0" applyFont="1" applyBorder="1" applyAlignment="1" applyProtection="1">
      <alignment vertical="center"/>
      <protection hidden="1"/>
    </xf>
    <xf numFmtId="181" fontId="16" fillId="0" borderId="2" xfId="0" applyNumberFormat="1" applyFont="1" applyFill="1" applyBorder="1" applyAlignment="1" applyProtection="1">
      <alignment vertical="center"/>
      <protection hidden="1"/>
    </xf>
    <xf numFmtId="181" fontId="15" fillId="0" borderId="2" xfId="0" applyNumberFormat="1" applyFont="1" applyFill="1" applyBorder="1" applyAlignment="1" applyProtection="1">
      <alignment vertical="center"/>
      <protection hidden="1"/>
    </xf>
    <xf numFmtId="0" fontId="15" fillId="0" borderId="4" xfId="0" applyFont="1" applyBorder="1" applyAlignment="1" applyProtection="1">
      <alignment vertical="center"/>
      <protection hidden="1"/>
    </xf>
    <xf numFmtId="181" fontId="16" fillId="0" borderId="4" xfId="0" applyNumberFormat="1" applyFont="1" applyFill="1" applyBorder="1" applyAlignment="1" applyProtection="1">
      <alignment vertical="center"/>
      <protection hidden="1"/>
    </xf>
    <xf numFmtId="181" fontId="15" fillId="0" borderId="4" xfId="0" applyNumberFormat="1" applyFont="1" applyFill="1" applyBorder="1" applyAlignment="1" applyProtection="1">
      <alignment vertical="center"/>
      <protection hidden="1"/>
    </xf>
    <xf numFmtId="181" fontId="16" fillId="0" borderId="5" xfId="0" applyNumberFormat="1" applyFont="1" applyBorder="1" applyAlignment="1" applyProtection="1">
      <alignment/>
      <protection hidden="1"/>
    </xf>
    <xf numFmtId="0" fontId="7" fillId="0" borderId="0" xfId="0" applyFont="1" applyFill="1" applyAlignment="1">
      <alignment/>
    </xf>
    <xf numFmtId="0" fontId="16" fillId="0" borderId="6" xfId="0" applyFont="1" applyBorder="1" applyAlignment="1" applyProtection="1">
      <alignment horizontal="left"/>
      <protection hidden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8" fontId="7" fillId="2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/>
    </xf>
    <xf numFmtId="178" fontId="7" fillId="7" borderId="0" xfId="0" applyNumberFormat="1" applyFont="1" applyFill="1" applyBorder="1" applyAlignment="1">
      <alignment vertical="center"/>
    </xf>
    <xf numFmtId="9" fontId="7" fillId="2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4" fillId="0" borderId="0" xfId="17" applyFont="1" applyAlignment="1">
      <alignment/>
    </xf>
    <xf numFmtId="0" fontId="7" fillId="8" borderId="0" xfId="0" applyFont="1" applyFill="1" applyAlignment="1">
      <alignment/>
    </xf>
    <xf numFmtId="4" fontId="13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" fontId="13" fillId="7" borderId="0" xfId="0" applyNumberFormat="1" applyFont="1" applyFill="1" applyAlignment="1">
      <alignment/>
    </xf>
    <xf numFmtId="172" fontId="7" fillId="8" borderId="2" xfId="18" applyNumberFormat="1" applyFont="1" applyFill="1" applyBorder="1" applyProtection="1">
      <alignment/>
      <protection/>
    </xf>
    <xf numFmtId="172" fontId="7" fillId="7" borderId="2" xfId="18" applyNumberFormat="1" applyFont="1" applyFill="1" applyBorder="1" applyProtection="1">
      <alignment/>
      <protection/>
    </xf>
    <xf numFmtId="10" fontId="7" fillId="8" borderId="0" xfId="18" applyNumberFormat="1" applyFont="1" applyFill="1">
      <alignment/>
      <protection/>
    </xf>
    <xf numFmtId="0" fontId="7" fillId="8" borderId="2" xfId="18" applyFont="1" applyFill="1" applyBorder="1" applyProtection="1">
      <alignment/>
      <protection/>
    </xf>
    <xf numFmtId="181" fontId="16" fillId="7" borderId="2" xfId="0" applyNumberFormat="1" applyFont="1" applyFill="1" applyBorder="1" applyAlignment="1" applyProtection="1">
      <alignment vertical="center"/>
      <protection hidden="1"/>
    </xf>
    <xf numFmtId="181" fontId="15" fillId="8" borderId="2" xfId="0" applyNumberFormat="1" applyFont="1" applyFill="1" applyBorder="1" applyAlignment="1" applyProtection="1">
      <alignment vertical="center"/>
      <protection hidden="1"/>
    </xf>
    <xf numFmtId="186" fontId="7" fillId="0" borderId="0" xfId="0" applyNumberFormat="1" applyFont="1" applyFill="1" applyAlignment="1">
      <alignment/>
    </xf>
    <xf numFmtId="9" fontId="7" fillId="0" borderId="0" xfId="20" applyFont="1" applyFill="1" applyAlignment="1">
      <alignment/>
    </xf>
    <xf numFmtId="186" fontId="8" fillId="7" borderId="7" xfId="0" applyNumberFormat="1" applyFont="1" applyFill="1" applyBorder="1" applyAlignment="1" applyProtection="1">
      <alignment/>
      <protection locked="0"/>
    </xf>
    <xf numFmtId="186" fontId="7" fillId="0" borderId="8" xfId="0" applyNumberFormat="1" applyFont="1" applyBorder="1" applyAlignment="1">
      <alignment/>
    </xf>
    <xf numFmtId="0" fontId="7" fillId="0" borderId="2" xfId="0" applyFont="1" applyFill="1" applyBorder="1" applyAlignment="1" applyProtection="1">
      <alignment vertical="top" wrapText="1"/>
      <protection hidden="1"/>
    </xf>
    <xf numFmtId="186" fontId="7" fillId="0" borderId="9" xfId="0" applyNumberFormat="1" applyFont="1" applyFill="1" applyBorder="1" applyAlignment="1">
      <alignment/>
    </xf>
    <xf numFmtId="186" fontId="18" fillId="0" borderId="8" xfId="0" applyNumberFormat="1" applyFont="1" applyBorder="1" applyAlignment="1">
      <alignment/>
    </xf>
    <xf numFmtId="186" fontId="18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8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9" fontId="7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86" fontId="7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kp kalk 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wypłata 'na rękę' dla pracownika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Porównanie!$B$3</c:f>
              <c:strCache>
                <c:ptCount val="1"/>
                <c:pt idx="0">
                  <c:v>Umowa o pracę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Porównanie!$B$6</c:f>
              <c:numCache>
                <c:ptCount val="1"/>
                <c:pt idx="0">
                  <c:v>8000</c:v>
                </c:pt>
              </c:numCache>
            </c:numRef>
          </c:cat>
          <c:val>
            <c:numRef>
              <c:f>Porównanie!$C$11</c:f>
              <c:numCache>
                <c:ptCount val="1"/>
                <c:pt idx="0">
                  <c:v>5018.759666666666</c:v>
                </c:pt>
              </c:numCache>
            </c:numRef>
          </c:val>
        </c:ser>
        <c:ser>
          <c:idx val="1"/>
          <c:order val="1"/>
          <c:tx>
            <c:strRef>
              <c:f>Porównanie!$D$3</c:f>
              <c:strCache>
                <c:ptCount val="1"/>
                <c:pt idx="0">
                  <c:v>Umowa zlecenia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Porównanie!$B$6</c:f>
              <c:numCache>
                <c:ptCount val="1"/>
                <c:pt idx="0">
                  <c:v>8000</c:v>
                </c:pt>
              </c:numCache>
            </c:numRef>
          </c:cat>
          <c:val>
            <c:numRef>
              <c:f>Porównanie!$E$11</c:f>
              <c:numCache>
                <c:ptCount val="1"/>
                <c:pt idx="0">
                  <c:v>5470.7805</c:v>
                </c:pt>
              </c:numCache>
            </c:numRef>
          </c:val>
        </c:ser>
        <c:ser>
          <c:idx val="2"/>
          <c:order val="2"/>
          <c:tx>
            <c:strRef>
              <c:f>Porównanie!$F$3</c:f>
              <c:strCache>
                <c:ptCount val="1"/>
                <c:pt idx="0">
                  <c:v>Samozatrudnienie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Porównanie!$B$6</c:f>
              <c:numCache>
                <c:ptCount val="1"/>
                <c:pt idx="0">
                  <c:v>8000</c:v>
                </c:pt>
              </c:numCache>
            </c:numRef>
          </c:cat>
          <c:val>
            <c:numRef>
              <c:f>Porównanie!$G$11</c:f>
              <c:numCache>
                <c:ptCount val="1"/>
                <c:pt idx="0">
                  <c:v>6029.360000000001</c:v>
                </c:pt>
              </c:numCache>
            </c:numRef>
          </c:val>
        </c:ser>
        <c:axId val="18979491"/>
        <c:axId val="36597692"/>
      </c:barChart>
      <c:catAx>
        <c:axId val="1897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79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15</xdr:row>
      <xdr:rowOff>0</xdr:rowOff>
    </xdr:from>
    <xdr:to>
      <xdr:col>7</xdr:col>
      <xdr:colOff>0</xdr:colOff>
      <xdr:row>22</xdr:row>
      <xdr:rowOff>95250</xdr:rowOff>
    </xdr:to>
    <xdr:graphicFrame>
      <xdr:nvGraphicFramePr>
        <xdr:cNvPr id="1" name="Chart 8"/>
        <xdr:cNvGraphicFramePr/>
      </xdr:nvGraphicFramePr>
      <xdr:xfrm>
        <a:off x="438150" y="2305050"/>
        <a:ext cx="8020050" cy="122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zus.pl/niusy/inf008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outlinePr summaryBelow="0"/>
  </sheetPr>
  <dimension ref="A1:K27"/>
  <sheetViews>
    <sheetView showGridLines="0" showOutlineSymbols="0" workbookViewId="0" topLeftCell="A1">
      <selection activeCell="C29" sqref="C29"/>
    </sheetView>
  </sheetViews>
  <sheetFormatPr defaultColWidth="9.140625" defaultRowHeight="12.75" outlineLevelRow="1"/>
  <cols>
    <col min="1" max="1" width="48.57421875" style="1" customWidth="1"/>
    <col min="2" max="4" width="12.7109375" style="1" customWidth="1"/>
    <col min="5" max="5" width="14.7109375" style="1" customWidth="1"/>
    <col min="6" max="7" width="12.7109375" style="1" customWidth="1"/>
    <col min="8" max="8" width="9.7109375" style="1" bestFit="1" customWidth="1"/>
    <col min="9" max="16384" width="9.140625" style="1" customWidth="1"/>
  </cols>
  <sheetData>
    <row r="1" ht="12.75">
      <c r="B1" s="2" t="s">
        <v>100</v>
      </c>
    </row>
    <row r="2" ht="12.75"/>
    <row r="3" spans="2:7" ht="12.75">
      <c r="B3" s="113" t="s">
        <v>90</v>
      </c>
      <c r="C3" s="113"/>
      <c r="D3" s="113" t="s">
        <v>4</v>
      </c>
      <c r="E3" s="113"/>
      <c r="F3" s="113" t="s">
        <v>91</v>
      </c>
      <c r="G3" s="113"/>
    </row>
    <row r="4" spans="2:7" s="4" customFormat="1" ht="12.75">
      <c r="B4" s="4" t="s">
        <v>57</v>
      </c>
      <c r="C4" s="4" t="s">
        <v>3</v>
      </c>
      <c r="D4" s="4" t="s">
        <v>57</v>
      </c>
      <c r="E4" s="4" t="s">
        <v>3</v>
      </c>
      <c r="F4" s="4" t="s">
        <v>57</v>
      </c>
      <c r="G4" s="4" t="s">
        <v>3</v>
      </c>
    </row>
    <row r="5" ht="13.5" thickBot="1"/>
    <row r="6" spans="1:11" ht="13.5" thickBot="1">
      <c r="A6" s="99" t="s">
        <v>151</v>
      </c>
      <c r="B6" s="91">
        <v>8000</v>
      </c>
      <c r="C6" s="95">
        <f>B6</f>
        <v>8000</v>
      </c>
      <c r="D6" s="92">
        <f>B6</f>
        <v>8000</v>
      </c>
      <c r="E6" s="95">
        <f>B6</f>
        <v>8000</v>
      </c>
      <c r="F6" s="92">
        <f>B6</f>
        <v>8000</v>
      </c>
      <c r="G6" s="95">
        <f>B6</f>
        <v>8000</v>
      </c>
      <c r="H6" s="3"/>
      <c r="I6" s="3"/>
      <c r="J6" s="3"/>
      <c r="K6" s="3"/>
    </row>
    <row r="7" spans="1:11" ht="12.75">
      <c r="A7" s="100" t="s">
        <v>149</v>
      </c>
      <c r="B7" s="7">
        <f aca="true" t="shared" si="0" ref="B7:G7">B6*12</f>
        <v>96000</v>
      </c>
      <c r="C7" s="96">
        <f t="shared" si="0"/>
        <v>96000</v>
      </c>
      <c r="D7" s="7">
        <f t="shared" si="0"/>
        <v>96000</v>
      </c>
      <c r="E7" s="96">
        <f t="shared" si="0"/>
        <v>96000</v>
      </c>
      <c r="F7" s="7">
        <f t="shared" si="0"/>
        <v>96000</v>
      </c>
      <c r="G7" s="96">
        <f t="shared" si="0"/>
        <v>96000</v>
      </c>
      <c r="I7" s="3"/>
      <c r="J7" s="3"/>
      <c r="K7" s="3"/>
    </row>
    <row r="8" spans="1:11" ht="12.75">
      <c r="A8" s="101" t="s">
        <v>150</v>
      </c>
      <c r="B8" s="6">
        <f>'m-c'!V17</f>
        <v>16015.880000000003</v>
      </c>
      <c r="C8" s="6">
        <f>'m-c'!H17+'m-c'!M17</f>
        <v>22184.544</v>
      </c>
      <c r="D8" s="6">
        <f>'m-c'!V52</f>
        <v>17103.144000000008</v>
      </c>
      <c r="E8" s="6">
        <f>'m-c'!H52+'m-c'!M52</f>
        <v>22184.544</v>
      </c>
      <c r="F8" s="6">
        <f>F9*12</f>
        <v>0</v>
      </c>
      <c r="G8" s="6">
        <f>G9*12</f>
        <v>8640.72</v>
      </c>
      <c r="I8" s="3"/>
      <c r="J8" s="3"/>
      <c r="K8" s="3"/>
    </row>
    <row r="9" spans="1:11" ht="12.75">
      <c r="A9" s="97" t="s">
        <v>92</v>
      </c>
      <c r="B9" s="89">
        <f>B8/12</f>
        <v>1334.656666666667</v>
      </c>
      <c r="C9" s="89">
        <f>C8/12</f>
        <v>1848.7120000000002</v>
      </c>
      <c r="D9" s="89">
        <f>D8/12</f>
        <v>1425.2620000000006</v>
      </c>
      <c r="E9" s="89">
        <f>E8/12</f>
        <v>1848.7120000000002</v>
      </c>
      <c r="F9" s="89"/>
      <c r="G9" s="89">
        <f>SUM(y!N17,y!P17,y!Q17)</f>
        <v>720.06</v>
      </c>
      <c r="I9" s="3"/>
      <c r="J9" s="3"/>
      <c r="K9" s="3"/>
    </row>
    <row r="10" spans="1:11" ht="13.5" thickBot="1">
      <c r="A10" s="76" t="s">
        <v>152</v>
      </c>
      <c r="B10" s="7"/>
      <c r="C10" s="7">
        <f>'m-c'!O17/12</f>
        <v>1132.5283333333334</v>
      </c>
      <c r="D10" s="7"/>
      <c r="E10" s="7">
        <f>'m-c'!O52/12</f>
        <v>680.5075</v>
      </c>
      <c r="F10" s="7"/>
      <c r="G10" s="7">
        <f>y!U17</f>
        <v>1250.58</v>
      </c>
      <c r="I10" s="3"/>
      <c r="J10" s="3"/>
      <c r="K10" s="3"/>
    </row>
    <row r="11" spans="1:11" ht="13.5" collapsed="1" thickBot="1">
      <c r="A11" s="98" t="s">
        <v>153</v>
      </c>
      <c r="B11" s="92">
        <f>B6+B9</f>
        <v>9334.656666666668</v>
      </c>
      <c r="C11" s="112">
        <f>C6-C9-C10</f>
        <v>5018.759666666666</v>
      </c>
      <c r="D11" s="92">
        <f>D6+D9</f>
        <v>9425.262</v>
      </c>
      <c r="E11" s="112">
        <f>E6-E9-E10</f>
        <v>5470.7805</v>
      </c>
      <c r="F11" s="92">
        <f>F6+F9</f>
        <v>8000</v>
      </c>
      <c r="G11" s="112">
        <f>G6-G9-G10</f>
        <v>6029.360000000001</v>
      </c>
      <c r="I11" s="3"/>
      <c r="J11" s="3"/>
      <c r="K11" s="3"/>
    </row>
    <row r="12" spans="1:11" ht="13.5" hidden="1" outlineLevel="1" thickBot="1">
      <c r="A12" s="102" t="s">
        <v>0</v>
      </c>
      <c r="B12" s="6">
        <f>'m-c'!W17/12</f>
        <v>9334.656666666664</v>
      </c>
      <c r="C12" s="94">
        <f>'m-c'!P17/12</f>
        <v>5018.759666666666</v>
      </c>
      <c r="D12" s="6">
        <f>'m-c'!W52/12</f>
        <v>9425.261999999997</v>
      </c>
      <c r="E12" s="94">
        <f>'m-c'!P52/12</f>
        <v>5470.780500000001</v>
      </c>
      <c r="F12" s="6">
        <f>F11</f>
        <v>8000</v>
      </c>
      <c r="G12" s="94">
        <f>G11</f>
        <v>6029.360000000001</v>
      </c>
      <c r="I12" s="3"/>
      <c r="J12" s="3"/>
      <c r="K12" s="3"/>
    </row>
    <row r="13" spans="1:11" ht="12.75">
      <c r="A13" s="103" t="s">
        <v>1</v>
      </c>
      <c r="B13" s="90">
        <f aca="true" t="shared" si="1" ref="B13:G13">B11/B6</f>
        <v>1.1668320833333334</v>
      </c>
      <c r="C13" s="90">
        <f t="shared" si="1"/>
        <v>0.6273449583333333</v>
      </c>
      <c r="D13" s="90">
        <f t="shared" si="1"/>
        <v>1.17815775</v>
      </c>
      <c r="E13" s="90">
        <f t="shared" si="1"/>
        <v>0.6838475625</v>
      </c>
      <c r="F13" s="90">
        <f t="shared" si="1"/>
        <v>1</v>
      </c>
      <c r="G13" s="90">
        <f t="shared" si="1"/>
        <v>0.7536700000000001</v>
      </c>
      <c r="I13" s="3"/>
      <c r="J13" s="3"/>
      <c r="K13" s="3"/>
    </row>
    <row r="14" spans="1:11" ht="12.75">
      <c r="A14" s="77" t="s">
        <v>2</v>
      </c>
      <c r="B14" s="5"/>
      <c r="C14" s="5">
        <f>C13/B13</f>
        <v>0.5376480191915645</v>
      </c>
      <c r="D14" s="5"/>
      <c r="E14" s="5">
        <f>E13/D13</f>
        <v>0.5804380292027956</v>
      </c>
      <c r="F14" s="5"/>
      <c r="G14" s="5">
        <f>G13/F13</f>
        <v>0.7536700000000001</v>
      </c>
      <c r="I14" s="3"/>
      <c r="J14" s="3"/>
      <c r="K14" s="3"/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3"/>
    </row>
    <row r="24" ht="12.75">
      <c r="A24" s="8" t="s">
        <v>6</v>
      </c>
    </row>
    <row r="25" ht="12.75">
      <c r="A25" s="8" t="s">
        <v>162</v>
      </c>
    </row>
    <row r="26" ht="12.75">
      <c r="A26" s="8" t="s">
        <v>99</v>
      </c>
    </row>
    <row r="27" ht="12.75">
      <c r="A27" s="8" t="s">
        <v>161</v>
      </c>
    </row>
  </sheetData>
  <sheetProtection/>
  <mergeCells count="3">
    <mergeCell ref="B3:C3"/>
    <mergeCell ref="D3:E3"/>
    <mergeCell ref="F3:G3"/>
  </mergeCells>
  <printOptions/>
  <pageMargins left="0.75" right="0.75" top="1" bottom="1" header="0.5" footer="0.5"/>
  <pageSetup horizontalDpi="300" verticalDpi="300" orientation="portrait" paperSize="9" r:id="rId4"/>
  <ignoredErrors>
    <ignoredError sqref="C11 E11 D11 F1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6"/>
  <sheetViews>
    <sheetView showGridLines="0" tabSelected="1" zoomScale="75" zoomScaleNormal="75" workbookViewId="0" topLeftCell="A1">
      <selection activeCell="E34" sqref="E34"/>
    </sheetView>
  </sheetViews>
  <sheetFormatPr defaultColWidth="9.140625" defaultRowHeight="12.75"/>
  <cols>
    <col min="1" max="1" width="9.140625" style="1" customWidth="1"/>
    <col min="2" max="2" width="45.8515625" style="1" bestFit="1" customWidth="1"/>
    <col min="3" max="8" width="12.7109375" style="1" customWidth="1"/>
    <col min="9" max="16384" width="9.140625" style="1" customWidth="1"/>
  </cols>
  <sheetData>
    <row r="3" ht="12.75">
      <c r="B3" s="2" t="s">
        <v>154</v>
      </c>
    </row>
    <row r="6" spans="2:8" ht="13.5" thickBot="1">
      <c r="B6" s="105"/>
      <c r="C6" s="105" t="s">
        <v>57</v>
      </c>
      <c r="D6" s="105" t="s">
        <v>155</v>
      </c>
      <c r="E6" s="105" t="s">
        <v>57</v>
      </c>
      <c r="F6" s="105" t="s">
        <v>155</v>
      </c>
      <c r="G6" s="105" t="s">
        <v>57</v>
      </c>
      <c r="H6" s="105" t="s">
        <v>155</v>
      </c>
    </row>
    <row r="7" spans="2:8" ht="12.75">
      <c r="B7" s="107" t="s">
        <v>156</v>
      </c>
      <c r="C7" s="108">
        <f>D7</f>
        <v>2000</v>
      </c>
      <c r="D7" s="108">
        <v>2000</v>
      </c>
      <c r="E7" s="108">
        <f>F7</f>
        <v>5000</v>
      </c>
      <c r="F7" s="108">
        <v>5000</v>
      </c>
      <c r="G7" s="108">
        <f>H7</f>
        <v>8000</v>
      </c>
      <c r="H7" s="108">
        <v>8000</v>
      </c>
    </row>
    <row r="8" spans="2:8" ht="12.75">
      <c r="B8" s="4" t="s">
        <v>157</v>
      </c>
      <c r="C8" s="106">
        <f aca="true" t="shared" si="0" ref="C8:H8">C7*12</f>
        <v>24000</v>
      </c>
      <c r="D8" s="106">
        <f t="shared" si="0"/>
        <v>24000</v>
      </c>
      <c r="E8" s="106">
        <f t="shared" si="0"/>
        <v>60000</v>
      </c>
      <c r="F8" s="106">
        <f t="shared" si="0"/>
        <v>60000</v>
      </c>
      <c r="G8" s="106">
        <f t="shared" si="0"/>
        <v>96000</v>
      </c>
      <c r="H8" s="106">
        <f t="shared" si="0"/>
        <v>96000</v>
      </c>
    </row>
    <row r="9" spans="3:8" ht="12.75">
      <c r="C9" s="106"/>
      <c r="D9" s="106"/>
      <c r="E9" s="106"/>
      <c r="F9" s="106"/>
      <c r="G9" s="106"/>
      <c r="H9" s="106"/>
    </row>
    <row r="10" spans="2:8" ht="12.75">
      <c r="B10" s="1" t="s">
        <v>158</v>
      </c>
      <c r="C10" s="106">
        <f>'m-c (2)'!V17</f>
        <v>4989.600000000001</v>
      </c>
      <c r="D10" s="106">
        <f>'m-c (2)'!H17+'m-c (2)'!M17</f>
        <v>6197.5199999999995</v>
      </c>
      <c r="E10" s="106">
        <f>'m-c (2)'!V50</f>
        <v>12474</v>
      </c>
      <c r="F10" s="106">
        <f>'m-c (2)'!H50+'m-c (2)'!M50</f>
        <v>15493.8</v>
      </c>
      <c r="G10" s="106">
        <f>'m-c (2)'!V65</f>
        <v>16015.880000000003</v>
      </c>
      <c r="H10" s="106">
        <f>'m-c (2)'!H65+'m-c (2)'!M65</f>
        <v>22184.544</v>
      </c>
    </row>
    <row r="11" spans="2:8" ht="12.75">
      <c r="B11" s="1" t="s">
        <v>160</v>
      </c>
      <c r="C11" s="106">
        <f aca="true" t="shared" si="1" ref="C11:H11">C10/12</f>
        <v>415.8000000000001</v>
      </c>
      <c r="D11" s="106">
        <f t="shared" si="1"/>
        <v>516.4599999999999</v>
      </c>
      <c r="E11" s="106">
        <f t="shared" si="1"/>
        <v>1039.5</v>
      </c>
      <c r="F11" s="106">
        <f t="shared" si="1"/>
        <v>1291.1499999999999</v>
      </c>
      <c r="G11" s="106">
        <f t="shared" si="1"/>
        <v>1334.656666666667</v>
      </c>
      <c r="H11" s="106">
        <f t="shared" si="1"/>
        <v>1848.7120000000002</v>
      </c>
    </row>
    <row r="12" spans="2:8" ht="12.75">
      <c r="B12" s="109" t="s">
        <v>152</v>
      </c>
      <c r="C12" s="110"/>
      <c r="D12" s="110">
        <f>'m-c (2)'!O17/12</f>
        <v>119.39000000000003</v>
      </c>
      <c r="E12" s="110"/>
      <c r="F12" s="110">
        <f>'m-c (2)'!O50/12</f>
        <v>490.08666666666676</v>
      </c>
      <c r="G12" s="110"/>
      <c r="H12" s="110">
        <f>'m-c (2)'!O65/12</f>
        <v>1132.5283333333334</v>
      </c>
    </row>
    <row r="13" spans="2:8" ht="12.75">
      <c r="B13" s="4" t="s">
        <v>159</v>
      </c>
      <c r="C13" s="106">
        <f>C7+C11</f>
        <v>2415.8</v>
      </c>
      <c r="D13" s="111">
        <f>D7-D11-D12</f>
        <v>1364.1499999999999</v>
      </c>
      <c r="E13" s="106">
        <f>E7+E11</f>
        <v>6039.5</v>
      </c>
      <c r="F13" s="111">
        <f>F7-F11-F12</f>
        <v>3218.763333333334</v>
      </c>
      <c r="G13" s="106">
        <f>G7+G11</f>
        <v>9334.656666666668</v>
      </c>
      <c r="H13" s="111">
        <f>H7-H11-H12</f>
        <v>5018.759666666666</v>
      </c>
    </row>
    <row r="15" spans="2:8" ht="12.75">
      <c r="B15" s="4" t="s">
        <v>1</v>
      </c>
      <c r="C15" s="5">
        <f aca="true" t="shared" si="2" ref="C15:H15">C13/C7</f>
        <v>1.2079000000000002</v>
      </c>
      <c r="D15" s="5">
        <f t="shared" si="2"/>
        <v>0.682075</v>
      </c>
      <c r="E15" s="5">
        <f t="shared" si="2"/>
        <v>1.2079</v>
      </c>
      <c r="F15" s="5">
        <f t="shared" si="2"/>
        <v>0.6437526666666668</v>
      </c>
      <c r="G15" s="5">
        <f t="shared" si="2"/>
        <v>1.1668320833333334</v>
      </c>
      <c r="H15" s="5">
        <f t="shared" si="2"/>
        <v>0.6273449583333333</v>
      </c>
    </row>
    <row r="16" spans="2:8" ht="12.75">
      <c r="B16" s="4" t="s">
        <v>2</v>
      </c>
      <c r="D16" s="104">
        <f>D15/C15</f>
        <v>0.5646783674145209</v>
      </c>
      <c r="F16" s="104">
        <f>F15/E15</f>
        <v>0.5329519551839281</v>
      </c>
      <c r="H16" s="104">
        <f>H15/G15</f>
        <v>0.5376480191915645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 transitionEvaluation="1" transitionEntry="1"/>
  <dimension ref="A1:AE31"/>
  <sheetViews>
    <sheetView zoomScale="75" zoomScaleNormal="75" workbookViewId="0" topLeftCell="A1">
      <selection activeCell="N17" sqref="N17"/>
    </sheetView>
  </sheetViews>
  <sheetFormatPr defaultColWidth="12.140625" defaultRowHeight="12.75" outlineLevelCol="1"/>
  <cols>
    <col min="1" max="1" width="4.8515625" style="13" bestFit="1" customWidth="1"/>
    <col min="2" max="2" width="8.7109375" style="13" hidden="1" customWidth="1" outlineLevel="1"/>
    <col min="3" max="3" width="11.00390625" style="13" customWidth="1" collapsed="1"/>
    <col min="4" max="4" width="8.421875" style="13" hidden="1" customWidth="1" outlineLevel="1"/>
    <col min="5" max="5" width="8.7109375" style="13" hidden="1" customWidth="1" outlineLevel="1"/>
    <col min="6" max="6" width="9.421875" style="13" hidden="1" customWidth="1" outlineLevel="1"/>
    <col min="7" max="7" width="10.8515625" style="13" customWidth="1" collapsed="1"/>
    <col min="8" max="8" width="11.00390625" style="13" hidden="1" customWidth="1" outlineLevel="1"/>
    <col min="9" max="9" width="10.57421875" style="13" hidden="1" customWidth="1" outlineLevel="1"/>
    <col min="10" max="10" width="9.8515625" style="13" hidden="1" customWidth="1" outlineLevel="1"/>
    <col min="11" max="13" width="12.7109375" style="13" hidden="1" customWidth="1" outlineLevel="1"/>
    <col min="14" max="14" width="11.140625" style="13" customWidth="1" collapsed="1"/>
    <col min="15" max="15" width="14.00390625" style="13" customWidth="1"/>
    <col min="16" max="18" width="13.421875" style="13" customWidth="1"/>
    <col min="19" max="19" width="14.57421875" style="13" customWidth="1"/>
    <col min="20" max="20" width="12.7109375" style="13" customWidth="1"/>
    <col min="21" max="21" width="11.7109375" style="13" customWidth="1"/>
    <col min="22" max="22" width="11.28125" style="13" bestFit="1" customWidth="1"/>
    <col min="23" max="23" width="5.28125" style="13" customWidth="1"/>
    <col min="24" max="24" width="11.140625" style="13" customWidth="1" outlineLevel="1"/>
    <col min="25" max="25" width="10.28125" style="13" customWidth="1" outlineLevel="1"/>
    <col min="26" max="26" width="11.8515625" style="13" customWidth="1" outlineLevel="1"/>
    <col min="27" max="27" width="16.7109375" style="13" customWidth="1" outlineLevel="1"/>
    <col min="28" max="28" width="12.140625" style="13" customWidth="1" outlineLevel="1"/>
    <col min="29" max="16384" width="12.140625" style="13" customWidth="1"/>
  </cols>
  <sheetData>
    <row r="1" ht="12.75">
      <c r="A1" s="78"/>
    </row>
    <row r="2" ht="12.75">
      <c r="A2" s="14" t="s">
        <v>101</v>
      </c>
    </row>
    <row r="3" ht="12.75">
      <c r="A3" s="15" t="s">
        <v>7</v>
      </c>
    </row>
    <row r="4" ht="12.75">
      <c r="X4" s="13" t="s">
        <v>53</v>
      </c>
    </row>
    <row r="5" spans="1:30" ht="47.25" customHeigh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54</v>
      </c>
      <c r="L5" s="16" t="s">
        <v>41</v>
      </c>
      <c r="M5" s="16" t="s">
        <v>42</v>
      </c>
      <c r="N5" s="16" t="s">
        <v>18</v>
      </c>
      <c r="O5" s="16" t="s">
        <v>19</v>
      </c>
      <c r="P5" s="16" t="s">
        <v>20</v>
      </c>
      <c r="Q5" s="16" t="s">
        <v>102</v>
      </c>
      <c r="R5" s="16" t="s">
        <v>21</v>
      </c>
      <c r="S5" s="16" t="s">
        <v>22</v>
      </c>
      <c r="T5" s="16" t="s">
        <v>23</v>
      </c>
      <c r="U5" s="16" t="s">
        <v>24</v>
      </c>
      <c r="V5" s="16" t="s">
        <v>25</v>
      </c>
      <c r="X5" s="16" t="s">
        <v>15</v>
      </c>
      <c r="Y5" s="16" t="s">
        <v>16</v>
      </c>
      <c r="Z5" s="16" t="s">
        <v>54</v>
      </c>
      <c r="AA5" s="16" t="s">
        <v>41</v>
      </c>
      <c r="AB5" s="16" t="s">
        <v>42</v>
      </c>
      <c r="AC5" s="16" t="s">
        <v>55</v>
      </c>
      <c r="AD5" s="16" t="s">
        <v>56</v>
      </c>
    </row>
    <row r="6" spans="1:22" ht="12.7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8">
        <v>7</v>
      </c>
      <c r="H6" s="18">
        <v>8</v>
      </c>
      <c r="I6" s="18">
        <v>9</v>
      </c>
      <c r="J6" s="18">
        <v>10</v>
      </c>
      <c r="K6" s="18" t="s">
        <v>95</v>
      </c>
      <c r="L6" s="18" t="s">
        <v>96</v>
      </c>
      <c r="M6" s="18" t="s">
        <v>97</v>
      </c>
      <c r="N6" s="18">
        <v>11</v>
      </c>
      <c r="O6" s="18">
        <v>12</v>
      </c>
      <c r="P6" s="18">
        <v>13</v>
      </c>
      <c r="Q6" s="18" t="s">
        <v>98</v>
      </c>
      <c r="R6" s="17">
        <v>14</v>
      </c>
      <c r="S6" s="18">
        <v>15</v>
      </c>
      <c r="T6" s="17">
        <v>16</v>
      </c>
      <c r="U6" s="18">
        <v>17</v>
      </c>
      <c r="V6" s="18">
        <v>18</v>
      </c>
    </row>
    <row r="7" spans="1:30" s="28" customFormat="1" ht="12.75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3"/>
      <c r="O7" s="25"/>
      <c r="P7" s="25"/>
      <c r="Q7" s="25"/>
      <c r="R7" s="25"/>
      <c r="S7" s="25"/>
      <c r="T7" s="23"/>
      <c r="U7" s="25"/>
      <c r="V7" s="25"/>
      <c r="W7" s="26"/>
      <c r="X7" s="25"/>
      <c r="Y7" s="25"/>
      <c r="Z7" s="25"/>
      <c r="AA7" s="25"/>
      <c r="AB7" s="25"/>
      <c r="AC7" s="25"/>
      <c r="AD7" s="27"/>
    </row>
    <row r="8" spans="1:30" s="28" customFormat="1" ht="12.75">
      <c r="A8" s="23"/>
      <c r="B8" s="29" t="s">
        <v>59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3"/>
      <c r="O8" s="25"/>
      <c r="P8" s="25"/>
      <c r="Q8" s="25"/>
      <c r="R8" s="25"/>
      <c r="S8" s="25"/>
      <c r="T8" s="23"/>
      <c r="U8" s="25"/>
      <c r="V8" s="25"/>
      <c r="W8" s="26"/>
      <c r="X8" s="25"/>
      <c r="Y8" s="25"/>
      <c r="Z8" s="25"/>
      <c r="AA8" s="25"/>
      <c r="AB8" s="25"/>
      <c r="AC8" s="25"/>
      <c r="AD8" s="27"/>
    </row>
    <row r="9" spans="1:31" ht="12.75">
      <c r="A9" s="19">
        <f>+A8+1</f>
        <v>1</v>
      </c>
      <c r="B9" s="20"/>
      <c r="C9" s="84">
        <f>Porównanie!B6</f>
        <v>8000</v>
      </c>
      <c r="D9" s="21"/>
      <c r="E9" s="21"/>
      <c r="F9" s="21"/>
      <c r="G9" s="21">
        <f>C9+D9+E9+F9</f>
        <v>8000</v>
      </c>
      <c r="H9" s="21">
        <f>IF((G9-F9)=0,0,ROUND((G9-F9)*H10,2))</f>
        <v>780.8</v>
      </c>
      <c r="I9" s="21">
        <f>IF((G9-F9)=0,0,ROUND((G9-F9)*I10,2))</f>
        <v>520</v>
      </c>
      <c r="J9" s="21">
        <f>IF((G9-F9)=0,0,ROUND((G9-F9)*J10,2))</f>
        <v>196</v>
      </c>
      <c r="K9" s="30"/>
      <c r="L9" s="31"/>
      <c r="M9" s="31"/>
      <c r="N9" s="19">
        <f>H9+I9+J9</f>
        <v>1496.8</v>
      </c>
      <c r="O9" s="21">
        <f>IF(G9-N9&gt;0,G9-N9,0)</f>
        <v>6503.2</v>
      </c>
      <c r="P9" s="21">
        <f>ROUND(IF(O9*P10&lt;ROUND(ROUND(O9-R9,0)*0.19-T9,1),O9*P10,IF(ROUND(ROUND(O9-R9,0)*0.19-T9,1)&lt;0,0,ROUND(ROUND(O9-R9,0)*0.19-T9,1))),2)</f>
        <v>504</v>
      </c>
      <c r="Q9" s="21">
        <f>ROUND(IF(O9*Q10&lt;ROUND(ROUND(O9-R9,0)*0.19-T9,1),O9*Q10,IF(ROUND(ROUND(O9-R9,0)*0.19-T9,1)&lt;0,0,ROUND(ROUND(O9-R9,0)*0.19-T9,1))),2)</f>
        <v>65.03</v>
      </c>
      <c r="R9" s="83">
        <f>skala!F16</f>
        <v>102.25</v>
      </c>
      <c r="S9" s="21">
        <f>ROUND(O9-R9,0)</f>
        <v>6401</v>
      </c>
      <c r="T9" s="86">
        <f>skala!F6</f>
        <v>44.17</v>
      </c>
      <c r="U9" s="21">
        <f>IF(ROUND(ROUND(S9,0)*0.19-T9,2)&gt;P9,ROUND(ROUND(ROUND(S9,0)*0.19-T9,2)-P9,2),)</f>
        <v>668.02</v>
      </c>
      <c r="V9" s="21">
        <f>+G9-N9-P9-Q9-U9</f>
        <v>5266.15</v>
      </c>
      <c r="W9" s="13">
        <f>V9/G9</f>
        <v>0.65826875</v>
      </c>
      <c r="X9" s="21">
        <f>IF((G9-F9)=0,0,ROUND((G9-F9)*X10,2))</f>
        <v>780.8</v>
      </c>
      <c r="Y9" s="21">
        <f>IF((G9-F9)=0,0,ROUND((G9-F9)*Y10,2))</f>
        <v>520</v>
      </c>
      <c r="Z9" s="21">
        <f>IF((G9-F9)=0,0,ROUND((G9-F9)*Z10,2))</f>
        <v>154.4</v>
      </c>
      <c r="AA9" s="21">
        <f>IF((G9-F9)=0,0,ROUND((G9-F9)*AA10,2))</f>
        <v>12</v>
      </c>
      <c r="AB9" s="21">
        <f>IF((G9-F9)=0,0,ROUND((G9-F9)*AB10,2))</f>
        <v>196</v>
      </c>
      <c r="AC9" s="21">
        <f>SUM(X9:AB9)</f>
        <v>1663.2</v>
      </c>
      <c r="AD9" s="32">
        <f>SUM(G9,AC9)</f>
        <v>9663.2</v>
      </c>
      <c r="AE9" s="22">
        <f>AD9/G9</f>
        <v>1.2079000000000002</v>
      </c>
    </row>
    <row r="10" spans="2:28" ht="12.75">
      <c r="B10" s="13" t="s">
        <v>26</v>
      </c>
      <c r="C10" s="13" t="s">
        <v>27</v>
      </c>
      <c r="H10" s="85">
        <f>wsk!F8</f>
        <v>0.0976</v>
      </c>
      <c r="I10" s="85">
        <f>wsk!F9</f>
        <v>0.065</v>
      </c>
      <c r="J10" s="85">
        <f>wsk!F10</f>
        <v>0.0245</v>
      </c>
      <c r="K10" s="33"/>
      <c r="L10" s="33"/>
      <c r="M10" s="33"/>
      <c r="P10" s="85">
        <f>wsk!F11</f>
        <v>0.0775</v>
      </c>
      <c r="Q10" s="85">
        <f>wsk!F12</f>
        <v>0.009999999999999995</v>
      </c>
      <c r="X10" s="85">
        <f>wsk!F16</f>
        <v>0.0976</v>
      </c>
      <c r="Y10" s="85">
        <f>wsk!F17</f>
        <v>0.065</v>
      </c>
      <c r="Z10" s="85">
        <f>wsk!F18</f>
        <v>0.0193</v>
      </c>
      <c r="AA10" s="85">
        <f>wsk!F19</f>
        <v>0.0015</v>
      </c>
      <c r="AB10" s="85">
        <f>wsk!F20</f>
        <v>0.0245</v>
      </c>
    </row>
    <row r="11" spans="8:17" ht="12.75">
      <c r="H11" s="33"/>
      <c r="I11" s="33"/>
      <c r="J11" s="33"/>
      <c r="K11" s="33"/>
      <c r="L11" s="33"/>
      <c r="M11" s="33"/>
      <c r="P11" s="33"/>
      <c r="Q11" s="33"/>
    </row>
    <row r="12" spans="2:17" ht="12.75">
      <c r="B12" s="29" t="s">
        <v>60</v>
      </c>
      <c r="H12" s="33"/>
      <c r="I12" s="33"/>
      <c r="J12" s="33"/>
      <c r="K12" s="33"/>
      <c r="L12" s="33"/>
      <c r="M12" s="33"/>
      <c r="P12" s="33"/>
      <c r="Q12" s="33"/>
    </row>
    <row r="13" spans="1:31" ht="12.75">
      <c r="A13" s="19">
        <v>2</v>
      </c>
      <c r="B13" s="20"/>
      <c r="C13" s="21">
        <f>C9</f>
        <v>8000</v>
      </c>
      <c r="D13" s="21"/>
      <c r="E13" s="21"/>
      <c r="F13" s="21"/>
      <c r="G13" s="21">
        <f>C13+D13+E13+F13</f>
        <v>8000</v>
      </c>
      <c r="H13" s="21">
        <f>IF((G13-F13)=0,0,ROUND((G13-F13)*H14,2))</f>
        <v>780.8</v>
      </c>
      <c r="I13" s="21">
        <f>IF((G13-F13)=0,0,ROUND((G13-F13)*I14,2))</f>
        <v>520</v>
      </c>
      <c r="J13" s="21">
        <f>IF((G13-F13)=0,0,ROUND((G13-F13)*J14,2))</f>
        <v>196</v>
      </c>
      <c r="K13" s="30"/>
      <c r="L13" s="31"/>
      <c r="M13" s="31"/>
      <c r="N13" s="19">
        <f>H13+I13+J13</f>
        <v>1496.8</v>
      </c>
      <c r="O13" s="21">
        <f>IF(G13-N13&gt;0,G13-N13,0)</f>
        <v>6503.2</v>
      </c>
      <c r="P13" s="21">
        <f>ROUND(IF(O13*P14&lt;ROUND(ROUND(O13-R13,0)*0.19-T13,1),O13*P14,IF(ROUND(ROUND(O13-R13,0)*0.19-T13,1)&lt;0,0,ROUND(ROUND(O13-R13,0)*0.19-T13,1))),2)</f>
        <v>504</v>
      </c>
      <c r="Q13" s="21">
        <f>ROUND(IF(O13*Q14&lt;ROUND(ROUND(O13-R13,0)*0.19-T13,2),O13*Q14,IF(ROUND(ROUND(O13-R13,0)*0.19-T13,2)&lt;0,0,ROUND(ROUND(O13-R13,0)*0.19-T13,2))),2)</f>
        <v>65.03</v>
      </c>
      <c r="R13" s="83">
        <f>G13*skala!F25</f>
        <v>1600</v>
      </c>
      <c r="S13" s="21">
        <f>ROUND(O13-R13,0)</f>
        <v>4903</v>
      </c>
      <c r="T13" s="34">
        <v>0</v>
      </c>
      <c r="U13" s="21">
        <f>IF(ROUND(ROUND(S13,0)*0.19-T13,2)&gt;P13,ROUND(ROUND(ROUND(S13,0)*0.19-T13,2)-P13,2),)</f>
        <v>427.57</v>
      </c>
      <c r="V13" s="21">
        <f>+G13-N13-P13-Q13-U13</f>
        <v>5506.6</v>
      </c>
      <c r="W13" s="13">
        <f>V13/G13</f>
        <v>0.6883250000000001</v>
      </c>
      <c r="X13" s="21">
        <f>IF((G13-F13)=0,0,ROUND((G13-F13)*X14,2))</f>
        <v>780.8</v>
      </c>
      <c r="Y13" s="21">
        <f>IF((G13-F13)=0,0,ROUND((G13-F13)*Y14,2))</f>
        <v>520</v>
      </c>
      <c r="Z13" s="21">
        <f>IF((G13-F13)=0,0,ROUND((G13-F13)*Z14,2))</f>
        <v>154.4</v>
      </c>
      <c r="AA13" s="21">
        <f>IF((G13-F13)=0,0,ROUND((G13-F13)*AA14,2))</f>
        <v>12</v>
      </c>
      <c r="AB13" s="21">
        <f>IF((G13-F13)=0,0,ROUND((G13-F13)*AB14,2))</f>
        <v>196</v>
      </c>
      <c r="AC13" s="21">
        <f>SUM(X13:AB13)</f>
        <v>1663.2</v>
      </c>
      <c r="AD13" s="32">
        <f>SUM(G13,AC13)</f>
        <v>9663.2</v>
      </c>
      <c r="AE13" s="22">
        <f>AD13/G13</f>
        <v>1.2079000000000002</v>
      </c>
    </row>
    <row r="14" spans="2:28" ht="12.75">
      <c r="B14" s="13" t="s">
        <v>26</v>
      </c>
      <c r="C14" s="1" t="s">
        <v>58</v>
      </c>
      <c r="H14" s="33">
        <f>H10</f>
        <v>0.0976</v>
      </c>
      <c r="I14" s="33">
        <f>I10</f>
        <v>0.065</v>
      </c>
      <c r="J14" s="33">
        <f>J10</f>
        <v>0.0245</v>
      </c>
      <c r="K14" s="33"/>
      <c r="L14" s="33"/>
      <c r="M14" s="33"/>
      <c r="P14" s="33">
        <f>P10</f>
        <v>0.0775</v>
      </c>
      <c r="Q14" s="33">
        <f>Q10</f>
        <v>0.009999999999999995</v>
      </c>
      <c r="X14" s="33">
        <f>X10</f>
        <v>0.0976</v>
      </c>
      <c r="Y14" s="33">
        <f>Y10</f>
        <v>0.065</v>
      </c>
      <c r="Z14" s="33">
        <f>Z10</f>
        <v>0.0193</v>
      </c>
      <c r="AA14" s="33">
        <f>AA10</f>
        <v>0.0015</v>
      </c>
      <c r="AB14" s="33">
        <f>AB10</f>
        <v>0.0245</v>
      </c>
    </row>
    <row r="15" spans="8:17" ht="12.75">
      <c r="H15" s="33"/>
      <c r="I15" s="33"/>
      <c r="J15" s="33"/>
      <c r="K15" s="33"/>
      <c r="L15" s="33"/>
      <c r="M15" s="33"/>
      <c r="P15" s="33"/>
      <c r="Q15" s="33"/>
    </row>
    <row r="16" spans="2:30" ht="12.75">
      <c r="B16" s="29" t="s">
        <v>61</v>
      </c>
      <c r="H16" s="33"/>
      <c r="I16" s="33"/>
      <c r="J16" s="33"/>
      <c r="K16" s="33"/>
      <c r="L16" s="33"/>
      <c r="M16" s="33"/>
      <c r="P16" s="33"/>
      <c r="Q16" s="33"/>
      <c r="X16" s="28"/>
      <c r="Y16" s="28"/>
      <c r="Z16" s="28"/>
      <c r="AA16" s="28"/>
      <c r="AB16" s="28"/>
      <c r="AC16" s="28"/>
      <c r="AD16" s="28"/>
    </row>
    <row r="17" spans="1:31" ht="12.75">
      <c r="A17" s="19">
        <v>3</v>
      </c>
      <c r="B17" s="20"/>
      <c r="C17" s="21">
        <f>C9</f>
        <v>8000</v>
      </c>
      <c r="D17" s="21"/>
      <c r="E17" s="21"/>
      <c r="F17" s="21"/>
      <c r="G17" s="21">
        <f>C17+D17+E17+F17</f>
        <v>8000</v>
      </c>
      <c r="H17" s="83">
        <f>wsk!F32</f>
        <v>274.91</v>
      </c>
      <c r="I17" s="83">
        <f>wsk!F33</f>
        <v>183.08</v>
      </c>
      <c r="J17" s="83">
        <f>wsk!F34</f>
        <v>34.5</v>
      </c>
      <c r="K17" s="83">
        <f>wsk!F38</f>
        <v>27.18</v>
      </c>
      <c r="L17" s="83">
        <f>wsk!F39</f>
        <v>2.11</v>
      </c>
      <c r="M17" s="83">
        <f>wsk!F37</f>
        <v>34.5</v>
      </c>
      <c r="N17" s="35">
        <f>H17+I17+J17+K17+L17+M17</f>
        <v>556.28</v>
      </c>
      <c r="O17" s="21">
        <f>IF(G17-N17&gt;0,G17-N17,0)</f>
        <v>7443.72</v>
      </c>
      <c r="P17" s="83">
        <f>wsk!F35</f>
        <v>163.78</v>
      </c>
      <c r="Q17" s="21"/>
      <c r="R17" s="21">
        <v>0</v>
      </c>
      <c r="S17" s="21">
        <f>ROUND(O17-R17,0)</f>
        <v>7444</v>
      </c>
      <c r="T17" s="34">
        <v>0</v>
      </c>
      <c r="U17" s="21">
        <f>IF(ROUND(ROUND(S17,0)*0.19-T17,2)&gt;P17,ROUND(ROUND(ROUND(S17,0)*0.19-T17,2)-P17,2),)</f>
        <v>1250.58</v>
      </c>
      <c r="V17" s="21">
        <f>+G17-N17-P17-Q17-U17</f>
        <v>6029.360000000001</v>
      </c>
      <c r="W17" s="22">
        <f>V17/G17</f>
        <v>0.7536700000000001</v>
      </c>
      <c r="X17" s="36"/>
      <c r="Y17" s="36"/>
      <c r="Z17" s="36"/>
      <c r="AA17" s="36"/>
      <c r="AB17" s="36"/>
      <c r="AC17" s="36"/>
      <c r="AD17" s="32">
        <f>SUM(G17,AC17)</f>
        <v>8000</v>
      </c>
      <c r="AE17" s="22">
        <f>AD17/G17</f>
        <v>1</v>
      </c>
    </row>
    <row r="18" spans="2:30" ht="12.75">
      <c r="B18" s="13" t="s">
        <v>26</v>
      </c>
      <c r="C18" s="1" t="s">
        <v>5</v>
      </c>
      <c r="H18" s="33"/>
      <c r="I18" s="33"/>
      <c r="J18" s="33"/>
      <c r="K18" s="33"/>
      <c r="L18" s="33"/>
      <c r="M18" s="33"/>
      <c r="P18" s="33"/>
      <c r="Q18" s="33"/>
      <c r="X18" s="36"/>
      <c r="Y18" s="36"/>
      <c r="Z18" s="36"/>
      <c r="AA18" s="36"/>
      <c r="AB18" s="36"/>
      <c r="AC18" s="28"/>
      <c r="AD18" s="28"/>
    </row>
    <row r="19" ht="12.75">
      <c r="C19" s="38"/>
    </row>
    <row r="21" ht="12.75">
      <c r="B21" s="37"/>
    </row>
    <row r="22" ht="12.75">
      <c r="B22" s="37"/>
    </row>
    <row r="23" ht="12.75">
      <c r="B23" s="37"/>
    </row>
    <row r="24" ht="12.75">
      <c r="B24" s="37"/>
    </row>
    <row r="25" ht="12.75">
      <c r="B25" s="37"/>
    </row>
    <row r="26" ht="12.75">
      <c r="B26" s="37"/>
    </row>
    <row r="27" ht="12.75">
      <c r="B27" s="37"/>
    </row>
    <row r="28" ht="12.75">
      <c r="B28" s="37"/>
    </row>
    <row r="29" ht="12.75">
      <c r="B29" s="37"/>
    </row>
    <row r="30" ht="12.75">
      <c r="B30" s="37"/>
    </row>
    <row r="31" ht="12.75">
      <c r="B31" s="39"/>
    </row>
  </sheetData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3"/>
  <sheetViews>
    <sheetView zoomScale="75" zoomScaleNormal="75" workbookViewId="0" topLeftCell="A1">
      <selection activeCell="O17" sqref="O17"/>
    </sheetView>
  </sheetViews>
  <sheetFormatPr defaultColWidth="9.140625" defaultRowHeight="12.75" outlineLevelRow="1" outlineLevelCol="1"/>
  <cols>
    <col min="1" max="1" width="10.8515625" style="1" bestFit="1" customWidth="1"/>
    <col min="2" max="2" width="18.57421875" style="1" bestFit="1" customWidth="1"/>
    <col min="3" max="3" width="14.8515625" style="1" hidden="1" customWidth="1" outlineLevel="1"/>
    <col min="4" max="4" width="16.00390625" style="1" bestFit="1" customWidth="1" collapsed="1"/>
    <col min="5" max="7" width="12.7109375" style="1" hidden="1" customWidth="1" outlineLevel="1"/>
    <col min="8" max="8" width="13.8515625" style="1" bestFit="1" customWidth="1" collapsed="1"/>
    <col min="9" max="9" width="14.57421875" style="1" customWidth="1" outlineLevel="1"/>
    <col min="10" max="10" width="15.421875" style="1" bestFit="1" customWidth="1"/>
    <col min="11" max="12" width="12.7109375" style="1" customWidth="1" outlineLevel="1"/>
    <col min="13" max="14" width="12.7109375" style="1" customWidth="1"/>
    <col min="15" max="15" width="13.8515625" style="1" bestFit="1" customWidth="1"/>
    <col min="16" max="16" width="14.8515625" style="1" bestFit="1" customWidth="1"/>
    <col min="17" max="19" width="12.7109375" style="1" hidden="1" customWidth="1" outlineLevel="1"/>
    <col min="20" max="20" width="15.28125" style="1" hidden="1" customWidth="1" outlineLevel="1"/>
    <col min="21" max="21" width="12.7109375" style="1" hidden="1" customWidth="1" outlineLevel="1"/>
    <col min="22" max="22" width="13.8515625" style="1" bestFit="1" customWidth="1" collapsed="1"/>
    <col min="23" max="23" width="17.8515625" style="1" bestFit="1" customWidth="1"/>
    <col min="24" max="16384" width="9.140625" style="1" customWidth="1"/>
  </cols>
  <sheetData>
    <row r="1" ht="12.75"/>
    <row r="2" ht="12.75">
      <c r="B2" s="41" t="s">
        <v>59</v>
      </c>
    </row>
    <row r="3" ht="12.75"/>
    <row r="4" spans="1:23" ht="76.5">
      <c r="A4" s="45"/>
      <c r="B4" s="46" t="s">
        <v>64</v>
      </c>
      <c r="C4" s="46" t="s">
        <v>89</v>
      </c>
      <c r="D4" s="46" t="s">
        <v>65</v>
      </c>
      <c r="E4" s="46" t="s">
        <v>15</v>
      </c>
      <c r="F4" s="46" t="s">
        <v>16</v>
      </c>
      <c r="G4" s="46" t="s">
        <v>17</v>
      </c>
      <c r="H4" s="46" t="s">
        <v>66</v>
      </c>
      <c r="I4" s="46" t="s">
        <v>88</v>
      </c>
      <c r="J4" s="46" t="s">
        <v>67</v>
      </c>
      <c r="K4" s="46" t="s">
        <v>111</v>
      </c>
      <c r="L4" s="46" t="s">
        <v>112</v>
      </c>
      <c r="M4" s="46" t="s">
        <v>69</v>
      </c>
      <c r="N4" s="46" t="s">
        <v>23</v>
      </c>
      <c r="O4" s="46" t="s">
        <v>68</v>
      </c>
      <c r="P4" s="46" t="s">
        <v>70</v>
      </c>
      <c r="Q4" s="46" t="s">
        <v>15</v>
      </c>
      <c r="R4" s="46" t="s">
        <v>16</v>
      </c>
      <c r="S4" s="46" t="s">
        <v>54</v>
      </c>
      <c r="T4" s="46" t="s">
        <v>86</v>
      </c>
      <c r="U4" s="46" t="s">
        <v>87</v>
      </c>
      <c r="V4" s="46" t="s">
        <v>71</v>
      </c>
      <c r="W4" s="46" t="s">
        <v>72</v>
      </c>
    </row>
    <row r="5" spans="1:25" ht="12.75">
      <c r="A5" s="47" t="s">
        <v>73</v>
      </c>
      <c r="B5" s="87">
        <f>Porównanie!$B$6</f>
        <v>8000</v>
      </c>
      <c r="C5" s="48">
        <f>SUM($B$5:B5)</f>
        <v>8000</v>
      </c>
      <c r="D5" s="49">
        <f>y!$R$9</f>
        <v>102.25</v>
      </c>
      <c r="E5" s="88">
        <f>IF($C5&gt;wsk!$F$44,IF($C4&lt;wsk!$F$44,($C5-wsk!$F$44)*wsk!$F$8,0),$B5*wsk!$F$8)</f>
        <v>780.8000000000001</v>
      </c>
      <c r="F5" s="88">
        <f>IF($C5&gt;wsk!$F$44,IF($C4&lt;wsk!$F$44,($C5-wsk!$F$44)*wsk!$F$9,0),$B5*wsk!$F$9)</f>
        <v>520</v>
      </c>
      <c r="G5" s="88">
        <f>ROUND(B5*wsk!$F$10,2)</f>
        <v>196</v>
      </c>
      <c r="H5" s="49">
        <f>SUM(E5:G5)</f>
        <v>1496.8000000000002</v>
      </c>
      <c r="I5" s="48">
        <f>ROUND(SUM($B$5:B5)-SUM($D$5:D5)-SUM($H$5:H5),)</f>
        <v>6401</v>
      </c>
      <c r="J5" s="48">
        <f>ROUND(SUM(B5,-D5,-H5),0)</f>
        <v>6401</v>
      </c>
      <c r="K5" s="88">
        <f>ROUND((B5-H5)*wsk!$F$11,2)</f>
        <v>504</v>
      </c>
      <c r="L5" s="88">
        <f>ROUND((B5-H5)*wsk!$F$12,2)</f>
        <v>65.03</v>
      </c>
      <c r="M5" s="49">
        <f>SUM(K5:L5)</f>
        <v>569.03</v>
      </c>
      <c r="N5" s="88">
        <f>y!T9</f>
        <v>44.17</v>
      </c>
      <c r="O5" s="49">
        <f>ROUND(IF(I5&gt;skala!$F$3,IF(I5&gt;skala!$F$8,IF(I4&lt;skala!$F$8,(skala!$F$8-I4)*0.3+(I5-skala!$F$8)*0.4,J5*0.4),IF(I4&lt;skala!$F$3,(skala!$F$3-I4)*0.19+(I5-skala!$F$3)*0.3,J5*0.3)),J5*0.19)-K5-N5,2)</f>
        <v>668.02</v>
      </c>
      <c r="P5" s="48">
        <f aca="true" t="shared" si="0" ref="P5:P16">SUM(B5,-H5,-M5,-O5)</f>
        <v>5266.15</v>
      </c>
      <c r="Q5" s="88">
        <f>IF($C5&gt;wsk!$F$44,IF($C4&lt;wsk!$F$44,($C5-wsk!$F$44)*wsk!$F$16,0),$B5*wsk!$F$16)</f>
        <v>780.8000000000001</v>
      </c>
      <c r="R5" s="88">
        <f>IF($C5&gt;wsk!$F$44,IF($C4&lt;wsk!$F$44,($C5-wsk!$F$44)*wsk!$F$17,0),$B5*wsk!$F$17)</f>
        <v>520</v>
      </c>
      <c r="S5" s="88">
        <f>ROUND(B5*wsk!$F$18,2)</f>
        <v>154.4</v>
      </c>
      <c r="T5" s="88">
        <f>ROUND(B5*wsk!$F$19,2)</f>
        <v>12</v>
      </c>
      <c r="U5" s="88">
        <f>ROUND(B5*wsk!$F$20,2)</f>
        <v>196</v>
      </c>
      <c r="V5" s="48">
        <f>SUM(Q5:U5)</f>
        <v>1663.2000000000003</v>
      </c>
      <c r="W5" s="48">
        <f aca="true" t="shared" si="1" ref="W5:W16">SUM(B5,V5)</f>
        <v>9663.2</v>
      </c>
      <c r="X5" s="50" t="b">
        <f>y!V9=P5</f>
        <v>1</v>
      </c>
      <c r="Y5" s="51" t="b">
        <f>y!AD9=W5</f>
        <v>1</v>
      </c>
    </row>
    <row r="6" spans="1:23" ht="12.75">
      <c r="A6" s="52" t="s">
        <v>74</v>
      </c>
      <c r="B6" s="53">
        <f>B5</f>
        <v>8000</v>
      </c>
      <c r="C6" s="53">
        <f>SUM($B$5:B6)</f>
        <v>16000</v>
      </c>
      <c r="D6" s="54">
        <f>D5</f>
        <v>102.25</v>
      </c>
      <c r="E6" s="54">
        <f>IF($C6&gt;wsk!$F$44,IF($C5&lt;wsk!$F$44,($C6-wsk!$F$44)*wsk!$F$8,0),$B6*wsk!$F$8)</f>
        <v>780.8000000000001</v>
      </c>
      <c r="F6" s="54">
        <f>IF($C6&gt;wsk!$F$44,IF($C5&lt;wsk!$F$44,($C6-wsk!$F$44)*wsk!$F$9,0),$B6*wsk!$F$9)</f>
        <v>520</v>
      </c>
      <c r="G6" s="54">
        <f>ROUND(B6*wsk!$F$10,2)</f>
        <v>196</v>
      </c>
      <c r="H6" s="54">
        <f aca="true" t="shared" si="2" ref="H6:H16">SUM(E6:G6)</f>
        <v>1496.8000000000002</v>
      </c>
      <c r="I6" s="53">
        <f>ROUND(SUM($B$5:B6)-SUM($D$5:D6)-SUM($H$5:H6),)</f>
        <v>12802</v>
      </c>
      <c r="J6" s="53">
        <f aca="true" t="shared" si="3" ref="J6:J16">ROUND(SUM(B6,-D6,-H6),0)</f>
        <v>6401</v>
      </c>
      <c r="K6" s="54">
        <f>ROUND((B6-H6)*wsk!$F$11,2)</f>
        <v>504</v>
      </c>
      <c r="L6" s="54">
        <f>ROUND((B6-H6)*wsk!$F$12,2)</f>
        <v>65.03</v>
      </c>
      <c r="M6" s="54">
        <f aca="true" t="shared" si="4" ref="M6:M16">SUM(K6:L6)</f>
        <v>569.03</v>
      </c>
      <c r="N6" s="54">
        <f>N5</f>
        <v>44.17</v>
      </c>
      <c r="O6" s="54">
        <f>ROUND(IF(I6&gt;skala!$D$3,IF(I6&gt;skala!$D$8,IF(I5&lt;skala!$D$8,(skala!$D$8-I5)*0.3+(I6-skala!$D$8)*0.4,J6*0.4),IF(I5&lt;skala!$D$3,(skala!$D$3-I5)*0.19+(I6-skala!$D$3)*0.3,J6*0.3)),J6*0.19)-K6-N6,2)</f>
        <v>668.02</v>
      </c>
      <c r="P6" s="53">
        <f t="shared" si="0"/>
        <v>5266.15</v>
      </c>
      <c r="Q6" s="54">
        <f>IF($C6&gt;wsk!$D$44,IF($C5&lt;wsk!$D$44,($C6-wsk!$D$44)*0.0976,0),$B6*0.0976)</f>
        <v>780.8000000000001</v>
      </c>
      <c r="R6" s="54">
        <f>IF($C6&gt;wsk!$F$44,IF($C5&lt;wsk!$F$44,($C6-wsk!$F$44)*wsk!$F$17,0),$B6*wsk!$F$17)</f>
        <v>520</v>
      </c>
      <c r="S6" s="54">
        <f>ROUND(B6*wsk!$F$18,2)</f>
        <v>154.4</v>
      </c>
      <c r="T6" s="54">
        <f>ROUND(B6*wsk!$F$19,2)</f>
        <v>12</v>
      </c>
      <c r="U6" s="54">
        <f>ROUND(B6*wsk!$F$20,2)</f>
        <v>196</v>
      </c>
      <c r="V6" s="53">
        <f aca="true" t="shared" si="5" ref="V6:V16">SUM(Q6:U6)</f>
        <v>1663.2000000000003</v>
      </c>
      <c r="W6" s="53">
        <f t="shared" si="1"/>
        <v>9663.2</v>
      </c>
    </row>
    <row r="7" spans="1:23" ht="12.75">
      <c r="A7" s="47" t="s">
        <v>75</v>
      </c>
      <c r="B7" s="48">
        <f aca="true" t="shared" si="6" ref="B7:B16">B6</f>
        <v>8000</v>
      </c>
      <c r="C7" s="48">
        <f>SUM($B$5:B7)</f>
        <v>24000</v>
      </c>
      <c r="D7" s="49">
        <f aca="true" t="shared" si="7" ref="D7:D16">D6</f>
        <v>102.25</v>
      </c>
      <c r="E7" s="49">
        <f>IF($C7&gt;wsk!$F$44,IF($C6&lt;wsk!$F$44,($C7-wsk!$F$44)*wsk!$F$8,0),$B7*wsk!$F$8)</f>
        <v>780.8000000000001</v>
      </c>
      <c r="F7" s="49">
        <f>IF($C7&gt;wsk!$F$44,IF($C6&lt;wsk!$F$44,($C7-wsk!$F$44)*wsk!$F$9,0),$B7*wsk!$F$9)</f>
        <v>520</v>
      </c>
      <c r="G7" s="49">
        <f>ROUND(B7*wsk!$F$10,2)</f>
        <v>196</v>
      </c>
      <c r="H7" s="49">
        <f t="shared" si="2"/>
        <v>1496.8000000000002</v>
      </c>
      <c r="I7" s="48">
        <f>ROUND(SUM($B$5:B7)-SUM($D$5:D7)-SUM($H$5:H7),)</f>
        <v>19203</v>
      </c>
      <c r="J7" s="48">
        <f t="shared" si="3"/>
        <v>6401</v>
      </c>
      <c r="K7" s="49">
        <f>ROUND((B7-H7)*wsk!$F$11,2)</f>
        <v>504</v>
      </c>
      <c r="L7" s="49">
        <f>ROUND((B7-H7)*wsk!$F$12,2)</f>
        <v>65.03</v>
      </c>
      <c r="M7" s="49">
        <f t="shared" si="4"/>
        <v>569.03</v>
      </c>
      <c r="N7" s="49">
        <f aca="true" t="shared" si="8" ref="N7:N16">N6</f>
        <v>44.17</v>
      </c>
      <c r="O7" s="49">
        <f>ROUND(IF(I7&gt;skala!$D$3,IF(I7&gt;skala!$D$8,IF(I6&lt;skala!$D$8,(skala!$D$8-I6)*0.3+(I7-skala!$D$8)*0.4,J7*0.4),IF(I6&lt;skala!$D$3,(skala!$D$3-I6)*0.19+(I7-skala!$D$3)*0.3,J7*0.3)),J7*0.19)-K7-N7,2)</f>
        <v>668.02</v>
      </c>
      <c r="P7" s="48">
        <f t="shared" si="0"/>
        <v>5266.15</v>
      </c>
      <c r="Q7" s="49">
        <f>IF($C7&gt;wsk!$D$44,IF($C6&lt;wsk!$D$44,($C7-wsk!$D$44)*0.0976,0),$B7*0.0976)</f>
        <v>780.8000000000001</v>
      </c>
      <c r="R7" s="49">
        <f>IF($C7&gt;wsk!$F$44,IF($C6&lt;wsk!$F$44,($C7-wsk!$F$44)*wsk!$F$17,0),$B7*wsk!$F$17)</f>
        <v>520</v>
      </c>
      <c r="S7" s="49">
        <f>ROUND(B7*wsk!$F$18,2)</f>
        <v>154.4</v>
      </c>
      <c r="T7" s="49">
        <f>ROUND(B7*wsk!$F$19,2)</f>
        <v>12</v>
      </c>
      <c r="U7" s="49">
        <f>ROUND(B7*wsk!$F$20,2)</f>
        <v>196</v>
      </c>
      <c r="V7" s="48">
        <f t="shared" si="5"/>
        <v>1663.2000000000003</v>
      </c>
      <c r="W7" s="48">
        <f t="shared" si="1"/>
        <v>9663.2</v>
      </c>
    </row>
    <row r="8" spans="1:23" ht="12.75">
      <c r="A8" s="52" t="s">
        <v>76</v>
      </c>
      <c r="B8" s="53">
        <f t="shared" si="6"/>
        <v>8000</v>
      </c>
      <c r="C8" s="53">
        <f>SUM($B$5:B8)</f>
        <v>32000</v>
      </c>
      <c r="D8" s="54">
        <f t="shared" si="7"/>
        <v>102.25</v>
      </c>
      <c r="E8" s="54">
        <f>IF($C8&gt;wsk!$F$44,IF($C7&lt;wsk!$F$44,($C8-wsk!$F$44)*wsk!$F$8,0),$B8*wsk!$F$8)</f>
        <v>780.8000000000001</v>
      </c>
      <c r="F8" s="54">
        <f>IF($C8&gt;wsk!$F$44,IF($C7&lt;wsk!$F$44,($C8-wsk!$F$44)*wsk!$F$9,0),$B8*wsk!$F$9)</f>
        <v>520</v>
      </c>
      <c r="G8" s="54">
        <f>ROUND(B8*wsk!$F$10,2)</f>
        <v>196</v>
      </c>
      <c r="H8" s="54">
        <f t="shared" si="2"/>
        <v>1496.8000000000002</v>
      </c>
      <c r="I8" s="53">
        <f>ROUND(SUM($B$5:B8)-SUM($D$5:D8)-SUM($H$5:H8),)</f>
        <v>25604</v>
      </c>
      <c r="J8" s="53">
        <f t="shared" si="3"/>
        <v>6401</v>
      </c>
      <c r="K8" s="54">
        <f>ROUND((B8-H8)*wsk!$F$11,2)</f>
        <v>504</v>
      </c>
      <c r="L8" s="54">
        <f>ROUND((B8-H8)*wsk!$F$12,2)</f>
        <v>65.03</v>
      </c>
      <c r="M8" s="54">
        <f t="shared" si="4"/>
        <v>569.03</v>
      </c>
      <c r="N8" s="54">
        <f t="shared" si="8"/>
        <v>44.17</v>
      </c>
      <c r="O8" s="54">
        <f>ROUND(IF(I8&gt;skala!$D$3,IF(I8&gt;skala!$D$8,IF(I7&lt;skala!$D$8,(skala!$D$8-I7)*0.3+(I8-skala!$D$8)*0.4,J8*0.4),IF(I7&lt;skala!$D$3,(skala!$D$3-I7)*0.19+(I8-skala!$D$3)*0.3,J8*0.3)),J8*0.19)-K8-N8,2)</f>
        <v>668.02</v>
      </c>
      <c r="P8" s="53">
        <f t="shared" si="0"/>
        <v>5266.15</v>
      </c>
      <c r="Q8" s="54">
        <f>IF($C8&gt;wsk!$D$44,IF($C7&lt;wsk!$D$44,($C8-wsk!$D$44)*0.0976,0),$B8*0.0976)</f>
        <v>780.8000000000001</v>
      </c>
      <c r="R8" s="54">
        <f>IF($C8&gt;wsk!$F$44,IF($C7&lt;wsk!$F$44,($C8-wsk!$F$44)*wsk!$F$17,0),$B8*wsk!$F$17)</f>
        <v>520</v>
      </c>
      <c r="S8" s="54">
        <f>ROUND(B8*wsk!$F$18,2)</f>
        <v>154.4</v>
      </c>
      <c r="T8" s="54">
        <f>ROUND(B8*wsk!$F$19,2)</f>
        <v>12</v>
      </c>
      <c r="U8" s="54">
        <f>ROUND(B8*wsk!$F$20,2)</f>
        <v>196</v>
      </c>
      <c r="V8" s="53">
        <f t="shared" si="5"/>
        <v>1663.2000000000003</v>
      </c>
      <c r="W8" s="53">
        <f t="shared" si="1"/>
        <v>9663.2</v>
      </c>
    </row>
    <row r="9" spans="1:23" ht="12.75">
      <c r="A9" s="47" t="s">
        <v>77</v>
      </c>
      <c r="B9" s="48">
        <f t="shared" si="6"/>
        <v>8000</v>
      </c>
      <c r="C9" s="48">
        <f>SUM($B$5:B9)</f>
        <v>40000</v>
      </c>
      <c r="D9" s="49">
        <f t="shared" si="7"/>
        <v>102.25</v>
      </c>
      <c r="E9" s="49">
        <f>IF($C9&gt;wsk!$F$44,IF($C8&lt;wsk!$F$44,($C9-wsk!$F$44)*wsk!$F$8,0),$B9*wsk!$F$8)</f>
        <v>780.8000000000001</v>
      </c>
      <c r="F9" s="49">
        <f>IF($C9&gt;wsk!$F$44,IF($C8&lt;wsk!$F$44,($C9-wsk!$F$44)*wsk!$F$9,0),$B9*wsk!$F$9)</f>
        <v>520</v>
      </c>
      <c r="G9" s="49">
        <f>ROUND(B9*wsk!$F$10,2)</f>
        <v>196</v>
      </c>
      <c r="H9" s="49">
        <f t="shared" si="2"/>
        <v>1496.8000000000002</v>
      </c>
      <c r="I9" s="48">
        <f>ROUND(SUM($B$5:B9)-SUM($D$5:D9)-SUM($H$5:H9),)</f>
        <v>32005</v>
      </c>
      <c r="J9" s="48">
        <f t="shared" si="3"/>
        <v>6401</v>
      </c>
      <c r="K9" s="49">
        <f>ROUND((B9-H9)*wsk!$F$11,2)</f>
        <v>504</v>
      </c>
      <c r="L9" s="49">
        <f>ROUND((B9-H9)*wsk!$F$12,2)</f>
        <v>65.03</v>
      </c>
      <c r="M9" s="49">
        <f t="shared" si="4"/>
        <v>569.03</v>
      </c>
      <c r="N9" s="49">
        <f t="shared" si="8"/>
        <v>44.17</v>
      </c>
      <c r="O9" s="49">
        <f>ROUND(IF(I9&gt;skala!$D$3,IF(I9&gt;skala!$D$8,IF(I8&lt;skala!$D$8,(skala!$D$8-I8)*0.3+(I9-skala!$D$8)*0.4,J9*0.4),IF(I8&lt;skala!$D$3,(skala!$D$3-I8)*0.19+(I9-skala!$D$3)*0.3,J9*0.3)),J9*0.19)-K9-N9,2)</f>
        <v>668.02</v>
      </c>
      <c r="P9" s="48">
        <f t="shared" si="0"/>
        <v>5266.15</v>
      </c>
      <c r="Q9" s="49">
        <f>IF($C9&gt;wsk!$D$44,IF($C8&lt;wsk!$D$44,($C9-wsk!$D$44)*0.0976,0),$B9*0.0976)</f>
        <v>780.8000000000001</v>
      </c>
      <c r="R9" s="49">
        <f>IF($C9&gt;wsk!$F$44,IF($C8&lt;wsk!$F$44,($C9-wsk!$F$44)*wsk!$F$17,0),$B9*wsk!$F$17)</f>
        <v>520</v>
      </c>
      <c r="S9" s="49">
        <f>ROUND(B9*wsk!$F$18,2)</f>
        <v>154.4</v>
      </c>
      <c r="T9" s="49">
        <f>ROUND(B9*wsk!$F$19,2)</f>
        <v>12</v>
      </c>
      <c r="U9" s="49">
        <f>ROUND(B9*wsk!$F$20,2)</f>
        <v>196</v>
      </c>
      <c r="V9" s="48">
        <f t="shared" si="5"/>
        <v>1663.2000000000003</v>
      </c>
      <c r="W9" s="48">
        <f t="shared" si="1"/>
        <v>9663.2</v>
      </c>
    </row>
    <row r="10" spans="1:23" ht="12.75">
      <c r="A10" s="52" t="s">
        <v>78</v>
      </c>
      <c r="B10" s="53">
        <f t="shared" si="6"/>
        <v>8000</v>
      </c>
      <c r="C10" s="53">
        <f>SUM($B$5:B10)</f>
        <v>48000</v>
      </c>
      <c r="D10" s="54">
        <f t="shared" si="7"/>
        <v>102.25</v>
      </c>
      <c r="E10" s="54">
        <f>IF($C10&gt;wsk!$F$44,IF($C9&lt;wsk!$F$44,($C10-wsk!$F$44)*wsk!$F$8,0),$B10*wsk!$F$8)</f>
        <v>780.8000000000001</v>
      </c>
      <c r="F10" s="54">
        <f>IF($C10&gt;wsk!$F$44,IF($C9&lt;wsk!$F$44,($C10-wsk!$F$44)*wsk!$F$9,0),$B10*wsk!$F$9)</f>
        <v>520</v>
      </c>
      <c r="G10" s="54">
        <f>ROUND(B10*wsk!$F$10,2)</f>
        <v>196</v>
      </c>
      <c r="H10" s="54">
        <f t="shared" si="2"/>
        <v>1496.8000000000002</v>
      </c>
      <c r="I10" s="53">
        <f>ROUND(SUM($B$5:B10)-SUM($D$5:D10)-SUM($H$5:H10),)</f>
        <v>38406</v>
      </c>
      <c r="J10" s="53">
        <f t="shared" si="3"/>
        <v>6401</v>
      </c>
      <c r="K10" s="54">
        <f>ROUND((B10-H10)*wsk!$F$11,2)</f>
        <v>504</v>
      </c>
      <c r="L10" s="54">
        <f>ROUND((B10-H10)*wsk!$F$12,2)</f>
        <v>65.03</v>
      </c>
      <c r="M10" s="54">
        <f t="shared" si="4"/>
        <v>569.03</v>
      </c>
      <c r="N10" s="54">
        <f t="shared" si="8"/>
        <v>44.17</v>
      </c>
      <c r="O10" s="54">
        <f>ROUND(IF(I10&gt;skala!$D$3,IF(I10&gt;skala!$D$8,IF(I9&lt;skala!$D$8,(skala!$D$8-I9)*0.3+(I10-skala!$D$8)*0.4,J10*0.4),IF(I9&lt;skala!$D$3,(skala!$D$3-I9)*0.19+(I10-skala!$D$3)*0.3,J10*0.3)),J10*0.19)-K10-N10,2)</f>
        <v>820.04</v>
      </c>
      <c r="P10" s="53">
        <f t="shared" si="0"/>
        <v>5114.13</v>
      </c>
      <c r="Q10" s="54">
        <f>IF($C10&gt;wsk!$D$44,IF($C9&lt;wsk!$D$44,($C10-wsk!$D$44)*0.0976,0),$B10*0.0976)</f>
        <v>780.8000000000001</v>
      </c>
      <c r="R10" s="54">
        <f>IF($C10&gt;wsk!$F$44,IF($C9&lt;wsk!$F$44,($C10-wsk!$F$44)*wsk!$F$17,0),$B10*wsk!$F$17)</f>
        <v>520</v>
      </c>
      <c r="S10" s="54">
        <f>ROUND(B10*wsk!$F$18,2)</f>
        <v>154.4</v>
      </c>
      <c r="T10" s="54">
        <f>ROUND(B10*wsk!$F$19,2)</f>
        <v>12</v>
      </c>
      <c r="U10" s="54">
        <f>ROUND(B10*wsk!$F$20,2)</f>
        <v>196</v>
      </c>
      <c r="V10" s="53">
        <f t="shared" si="5"/>
        <v>1663.2000000000003</v>
      </c>
      <c r="W10" s="53">
        <f t="shared" si="1"/>
        <v>9663.2</v>
      </c>
    </row>
    <row r="11" spans="1:23" ht="12.75">
      <c r="A11" s="47" t="s">
        <v>79</v>
      </c>
      <c r="B11" s="48">
        <f t="shared" si="6"/>
        <v>8000</v>
      </c>
      <c r="C11" s="48">
        <f>SUM($B$5:B11)</f>
        <v>56000</v>
      </c>
      <c r="D11" s="49">
        <f t="shared" si="7"/>
        <v>102.25</v>
      </c>
      <c r="E11" s="49">
        <f>IF($C11&gt;wsk!$F$44,IF($C10&lt;wsk!$F$44,($C11-wsk!$F$44)*wsk!$F$8,0),$B11*wsk!$F$8)</f>
        <v>780.8000000000001</v>
      </c>
      <c r="F11" s="49">
        <f>IF($C11&gt;wsk!$F$44,IF($C10&lt;wsk!$F$44,($C11-wsk!$F$44)*wsk!$F$9,0),$B11*wsk!$F$9)</f>
        <v>520</v>
      </c>
      <c r="G11" s="49">
        <f>ROUND(B11*wsk!$F$10,2)</f>
        <v>196</v>
      </c>
      <c r="H11" s="49">
        <f t="shared" si="2"/>
        <v>1496.8000000000002</v>
      </c>
      <c r="I11" s="48">
        <f>ROUND(SUM($B$5:B11)-SUM($D$5:D11)-SUM($H$5:H11),)</f>
        <v>44807</v>
      </c>
      <c r="J11" s="48">
        <f t="shared" si="3"/>
        <v>6401</v>
      </c>
      <c r="K11" s="49">
        <f>ROUND((B11-H11)*wsk!$F$11,2)</f>
        <v>504</v>
      </c>
      <c r="L11" s="49">
        <f>ROUND((B11-H11)*wsk!$F$12,2)</f>
        <v>65.03</v>
      </c>
      <c r="M11" s="49">
        <f t="shared" si="4"/>
        <v>569.03</v>
      </c>
      <c r="N11" s="49">
        <f t="shared" si="8"/>
        <v>44.17</v>
      </c>
      <c r="O11" s="49">
        <f>ROUND(IF(I11&gt;skala!$D$3,IF(I11&gt;skala!$D$8,IF(I10&lt;skala!$D$8,(skala!$D$8-I10)*0.3+(I11-skala!$D$8)*0.4,J11*0.4),IF(I10&lt;skala!$D$3,(skala!$D$3-I10)*0.19+(I11-skala!$D$3)*0.3,J11*0.3)),J11*0.19)-K11-N11,2)</f>
        <v>1372.13</v>
      </c>
      <c r="P11" s="48">
        <f t="shared" si="0"/>
        <v>4562.04</v>
      </c>
      <c r="Q11" s="49">
        <f>IF($C11&gt;wsk!$D$44,IF($C10&lt;wsk!$D$44,($C11-wsk!$D$44)*0.0976,0),$B11*0.0976)</f>
        <v>780.8000000000001</v>
      </c>
      <c r="R11" s="49">
        <f>IF($C11&gt;wsk!$F$44,IF($C10&lt;wsk!$F$44,($C11-wsk!$F$44)*wsk!$F$17,0),$B11*wsk!$F$17)</f>
        <v>520</v>
      </c>
      <c r="S11" s="49">
        <f>ROUND(B11*wsk!$F$18,2)</f>
        <v>154.4</v>
      </c>
      <c r="T11" s="49">
        <f>ROUND(B11*wsk!$F$19,2)</f>
        <v>12</v>
      </c>
      <c r="U11" s="49">
        <f>ROUND(B11*wsk!$F$20,2)</f>
        <v>196</v>
      </c>
      <c r="V11" s="48">
        <f t="shared" si="5"/>
        <v>1663.2000000000003</v>
      </c>
      <c r="W11" s="48">
        <f t="shared" si="1"/>
        <v>9663.2</v>
      </c>
    </row>
    <row r="12" spans="1:23" ht="12.75">
      <c r="A12" s="52" t="s">
        <v>80</v>
      </c>
      <c r="B12" s="53">
        <f t="shared" si="6"/>
        <v>8000</v>
      </c>
      <c r="C12" s="53">
        <f>SUM($B$5:B12)</f>
        <v>64000</v>
      </c>
      <c r="D12" s="54">
        <f t="shared" si="7"/>
        <v>102.25</v>
      </c>
      <c r="E12" s="54">
        <f>IF($C12&gt;wsk!$F$44,IF($C11&lt;wsk!$F$44,($C12-wsk!$F$44)*wsk!$F$8,0),$B12*wsk!$F$8)</f>
        <v>780.8000000000001</v>
      </c>
      <c r="F12" s="54">
        <f>IF($C12&gt;wsk!$F$44,IF($C11&lt;wsk!$F$44,($C12-wsk!$F$44)*wsk!$F$9,0),$B12*wsk!$F$9)</f>
        <v>520</v>
      </c>
      <c r="G12" s="54">
        <f>ROUND(B12*wsk!$F$10,2)</f>
        <v>196</v>
      </c>
      <c r="H12" s="54">
        <f t="shared" si="2"/>
        <v>1496.8000000000002</v>
      </c>
      <c r="I12" s="53">
        <f>ROUND(SUM($B$5:B12)-SUM($D$5:D12)-SUM($H$5:H12),)</f>
        <v>51208</v>
      </c>
      <c r="J12" s="53">
        <f t="shared" si="3"/>
        <v>6401</v>
      </c>
      <c r="K12" s="54">
        <f>ROUND((B12-H12)*wsk!$F$11,2)</f>
        <v>504</v>
      </c>
      <c r="L12" s="54">
        <f>ROUND((B12-H12)*wsk!$F$12,2)</f>
        <v>65.03</v>
      </c>
      <c r="M12" s="54">
        <f t="shared" si="4"/>
        <v>569.03</v>
      </c>
      <c r="N12" s="54">
        <f t="shared" si="8"/>
        <v>44.17</v>
      </c>
      <c r="O12" s="54">
        <f>ROUND(IF(I12&gt;skala!$D$3,IF(I12&gt;skala!$D$8,IF(I11&lt;skala!$D$8,(skala!$D$8-I11)*0.3+(I12-skala!$D$8)*0.4,J12*0.4),IF(I11&lt;skala!$D$3,(skala!$D$3-I11)*0.19+(I12-skala!$D$3)*0.3,J12*0.3)),J12*0.19)-K12-N12,2)</f>
        <v>1372.13</v>
      </c>
      <c r="P12" s="53">
        <f t="shared" si="0"/>
        <v>4562.04</v>
      </c>
      <c r="Q12" s="54">
        <f>IF($C12&gt;wsk!$D$44,IF($C11&lt;wsk!$D$44,($C12-wsk!$D$44)*0.0976,0),$B12*0.0976)</f>
        <v>780.8000000000001</v>
      </c>
      <c r="R12" s="54">
        <f>IF($C12&gt;wsk!$F$44,IF($C11&lt;wsk!$F$44,($C12-wsk!$F$44)*wsk!$F$17,0),$B12*wsk!$F$17)</f>
        <v>520</v>
      </c>
      <c r="S12" s="54">
        <f>ROUND(B12*wsk!$F$18,2)</f>
        <v>154.4</v>
      </c>
      <c r="T12" s="54">
        <f>ROUND(B12*wsk!$F$19,2)</f>
        <v>12</v>
      </c>
      <c r="U12" s="54">
        <f>ROUND(B12*wsk!$F$20,2)</f>
        <v>196</v>
      </c>
      <c r="V12" s="53">
        <f t="shared" si="5"/>
        <v>1663.2000000000003</v>
      </c>
      <c r="W12" s="53">
        <f t="shared" si="1"/>
        <v>9663.2</v>
      </c>
    </row>
    <row r="13" spans="1:23" ht="12.75">
      <c r="A13" s="47" t="s">
        <v>81</v>
      </c>
      <c r="B13" s="48">
        <f t="shared" si="6"/>
        <v>8000</v>
      </c>
      <c r="C13" s="48">
        <f>SUM($B$5:B13)</f>
        <v>72000</v>
      </c>
      <c r="D13" s="49">
        <f t="shared" si="7"/>
        <v>102.25</v>
      </c>
      <c r="E13" s="49">
        <f>IF($C13&gt;wsk!$F$44,IF($C12&lt;wsk!$F$44,($C13-wsk!$F$44)*wsk!$F$8,0),$B13*wsk!$F$8)</f>
        <v>780.8000000000001</v>
      </c>
      <c r="F13" s="49">
        <f>IF($C13&gt;wsk!$F$44,IF($C12&lt;wsk!$F$44,($C13-wsk!$F$44)*wsk!$F$9,0),$B13*wsk!$F$9)</f>
        <v>520</v>
      </c>
      <c r="G13" s="49">
        <f>ROUND(B13*wsk!$F$10,2)</f>
        <v>196</v>
      </c>
      <c r="H13" s="49">
        <f t="shared" si="2"/>
        <v>1496.8000000000002</v>
      </c>
      <c r="I13" s="48">
        <f>ROUND(SUM($B$5:B13)-SUM($D$5:D13)-SUM($H$5:H13),)</f>
        <v>57609</v>
      </c>
      <c r="J13" s="48">
        <f t="shared" si="3"/>
        <v>6401</v>
      </c>
      <c r="K13" s="49">
        <f>ROUND((B13-H13)*wsk!$F$11,2)</f>
        <v>504</v>
      </c>
      <c r="L13" s="49">
        <f>ROUND((B13-H13)*wsk!$F$12,2)</f>
        <v>65.03</v>
      </c>
      <c r="M13" s="49">
        <f t="shared" si="4"/>
        <v>569.03</v>
      </c>
      <c r="N13" s="49">
        <f t="shared" si="8"/>
        <v>44.17</v>
      </c>
      <c r="O13" s="49">
        <f>ROUND(IF(I13&gt;skala!$D$3,IF(I13&gt;skala!$D$8,IF(I12&lt;skala!$D$8,(skala!$D$8-I12)*0.3+(I13-skala!$D$8)*0.4,J13*0.4),IF(I12&lt;skala!$D$3,(skala!$D$3-I12)*0.19+(I13-skala!$D$3)*0.3,J13*0.3)),J13*0.19)-K13-N13,2)</f>
        <v>1372.13</v>
      </c>
      <c r="P13" s="48">
        <f t="shared" si="0"/>
        <v>4562.04</v>
      </c>
      <c r="Q13" s="49">
        <f>IF($C13&gt;wsk!$D$44,IF($C12&lt;wsk!$D$44,($C13-wsk!$D$44)*0.0976,0),$B13*0.0976)</f>
        <v>322.08000000000004</v>
      </c>
      <c r="R13" s="49">
        <f>IF($C13&gt;wsk!$F$44,IF($C12&lt;wsk!$F$44,($C13-wsk!$F$44)*wsk!$F$17,0),$B13*wsk!$F$17)</f>
        <v>520</v>
      </c>
      <c r="S13" s="49">
        <f>ROUND(B13*wsk!$F$18,2)</f>
        <v>154.4</v>
      </c>
      <c r="T13" s="49">
        <f>ROUND(B13*wsk!$F$19,2)</f>
        <v>12</v>
      </c>
      <c r="U13" s="49">
        <f>ROUND(B13*wsk!$F$20,2)</f>
        <v>196</v>
      </c>
      <c r="V13" s="48">
        <f t="shared" si="5"/>
        <v>1204.48</v>
      </c>
      <c r="W13" s="48">
        <f t="shared" si="1"/>
        <v>9204.48</v>
      </c>
    </row>
    <row r="14" spans="1:23" ht="12.75">
      <c r="A14" s="52" t="s">
        <v>82</v>
      </c>
      <c r="B14" s="53">
        <f t="shared" si="6"/>
        <v>8000</v>
      </c>
      <c r="C14" s="53">
        <f>SUM($B$5:B14)</f>
        <v>80000</v>
      </c>
      <c r="D14" s="54">
        <f t="shared" si="7"/>
        <v>102.25</v>
      </c>
      <c r="E14" s="54">
        <f>IF($C14&gt;wsk!$F$44,IF($C13&lt;wsk!$F$44,($C14-wsk!$F$44)*wsk!$F$8,0),$B14*wsk!$F$8)</f>
        <v>628.5440000000001</v>
      </c>
      <c r="F14" s="54">
        <f>IF($C14&gt;wsk!$F$44,IF($C13&lt;wsk!$F$44,($C14-wsk!$F$44)*wsk!$F$9,0),$B14*wsk!$F$9)</f>
        <v>418.6</v>
      </c>
      <c r="G14" s="54">
        <f>ROUND(B14*wsk!$F$10,2)</f>
        <v>196</v>
      </c>
      <c r="H14" s="54">
        <f t="shared" si="2"/>
        <v>1243.1440000000002</v>
      </c>
      <c r="I14" s="53">
        <f>ROUND(SUM($B$5:B14)-SUM($D$5:D14)-SUM($H$5:H14),)</f>
        <v>64263</v>
      </c>
      <c r="J14" s="53">
        <f t="shared" si="3"/>
        <v>6655</v>
      </c>
      <c r="K14" s="54">
        <f>ROUND((B14-H14)*wsk!$F$11,2)</f>
        <v>523.66</v>
      </c>
      <c r="L14" s="54">
        <f>ROUND((B14-H14)*wsk!$F$12,2)</f>
        <v>67.57</v>
      </c>
      <c r="M14" s="54">
        <f t="shared" si="4"/>
        <v>591.23</v>
      </c>
      <c r="N14" s="54">
        <f t="shared" si="8"/>
        <v>44.17</v>
      </c>
      <c r="O14" s="54">
        <f>ROUND(IF(I14&gt;skala!$D$3,IF(I14&gt;skala!$D$8,IF(I13&lt;skala!$D$8,(skala!$D$8-I13)*0.3+(I14-skala!$D$8)*0.4,J14*0.4),IF(I13&lt;skala!$D$3,(skala!$D$3-I13)*0.19+(I14-skala!$D$3)*0.3,J14*0.3)),J14*0.19)-K14-N14,2)</f>
        <v>1428.67</v>
      </c>
      <c r="P14" s="53">
        <f t="shared" si="0"/>
        <v>4736.956</v>
      </c>
      <c r="Q14" s="54">
        <f>IF($C14&gt;wsk!$D$44,IF($C13&lt;wsk!$D$44,($C14-wsk!$D$44)*0.0976,0),$B14*0.0976)</f>
        <v>0</v>
      </c>
      <c r="R14" s="54">
        <f>IF($C14&gt;wsk!$F$44,IF($C13&lt;wsk!$F$44,($C14-wsk!$F$44)*wsk!$F$17,0),$B14*wsk!$F$17)</f>
        <v>418.6</v>
      </c>
      <c r="S14" s="54">
        <f>ROUND(B14*wsk!$F$18,2)</f>
        <v>154.4</v>
      </c>
      <c r="T14" s="54">
        <f>ROUND(B14*wsk!$F$19,2)</f>
        <v>12</v>
      </c>
      <c r="U14" s="54">
        <f>ROUND(B14*wsk!$F$20,2)</f>
        <v>196</v>
      </c>
      <c r="V14" s="53">
        <f t="shared" si="5"/>
        <v>781</v>
      </c>
      <c r="W14" s="53">
        <f t="shared" si="1"/>
        <v>8781</v>
      </c>
    </row>
    <row r="15" spans="1:23" ht="12.75">
      <c r="A15" s="47" t="s">
        <v>83</v>
      </c>
      <c r="B15" s="48">
        <f t="shared" si="6"/>
        <v>8000</v>
      </c>
      <c r="C15" s="48">
        <f>SUM($B$5:B15)</f>
        <v>88000</v>
      </c>
      <c r="D15" s="49">
        <f t="shared" si="7"/>
        <v>102.25</v>
      </c>
      <c r="E15" s="49">
        <f>IF($C15&gt;wsk!$F$44,IF($C14&lt;wsk!$F$44,($C15-wsk!$F$44)*wsk!$F$8,0),$B15*wsk!$F$8)</f>
        <v>0</v>
      </c>
      <c r="F15" s="49">
        <f>IF($C15&gt;wsk!$F$44,IF($C14&lt;wsk!$F$44,($C15-wsk!$F$44)*wsk!$F$9,0),$B15*wsk!$F$9)</f>
        <v>0</v>
      </c>
      <c r="G15" s="49">
        <f>ROUND(B15*wsk!$F$10,2)</f>
        <v>196</v>
      </c>
      <c r="H15" s="49">
        <f t="shared" si="2"/>
        <v>196</v>
      </c>
      <c r="I15" s="48">
        <f>ROUND(SUM($B$5:B15)-SUM($D$5:D15)-SUM($H$5:H15),)</f>
        <v>71965</v>
      </c>
      <c r="J15" s="48">
        <f t="shared" si="3"/>
        <v>7702</v>
      </c>
      <c r="K15" s="49">
        <f>ROUND((B15-H15)*wsk!$F$11,2)</f>
        <v>604.81</v>
      </c>
      <c r="L15" s="49">
        <f>ROUND((B15-H15)*wsk!$F$12,2)</f>
        <v>78.04</v>
      </c>
      <c r="M15" s="49">
        <f t="shared" si="4"/>
        <v>682.8499999999999</v>
      </c>
      <c r="N15" s="49">
        <f t="shared" si="8"/>
        <v>44.17</v>
      </c>
      <c r="O15" s="49">
        <f>ROUND(IF(I15&gt;skala!$D$3,IF(I15&gt;skala!$D$8,IF(I14&lt;skala!$D$8,(skala!$D$8-I14)*0.3+(I15-skala!$D$8)*0.4,J15*0.4),IF(I14&lt;skala!$D$3,(skala!$D$3-I14)*0.19+(I15-skala!$D$3)*0.3,J15*0.3)),J15*0.19)-K15-N15,2)</f>
        <v>1661.62</v>
      </c>
      <c r="P15" s="48">
        <f t="shared" si="0"/>
        <v>5459.53</v>
      </c>
      <c r="Q15" s="49">
        <f>IF($C15&gt;wsk!$D$44,IF($C14&lt;wsk!$D$44,($C15-wsk!$D$44)*0.0976,0),$B15*0.0976)</f>
        <v>0</v>
      </c>
      <c r="R15" s="49">
        <f>IF($C15&gt;wsk!$F$44,IF($C14&lt;wsk!$F$44,($C15-wsk!$F$44)*wsk!$F$17,0),$B15*wsk!$F$17)</f>
        <v>0</v>
      </c>
      <c r="S15" s="49">
        <f>ROUND(B15*wsk!$F$18,2)</f>
        <v>154.4</v>
      </c>
      <c r="T15" s="49">
        <f>ROUND(B15*wsk!$F$19,2)</f>
        <v>12</v>
      </c>
      <c r="U15" s="49">
        <f>ROUND(B15*wsk!$F$20,2)</f>
        <v>196</v>
      </c>
      <c r="V15" s="48">
        <f t="shared" si="5"/>
        <v>362.4</v>
      </c>
      <c r="W15" s="48">
        <f t="shared" si="1"/>
        <v>8362.4</v>
      </c>
    </row>
    <row r="16" spans="1:23" ht="13.5" thickBot="1">
      <c r="A16" s="55" t="s">
        <v>84</v>
      </c>
      <c r="B16" s="56">
        <f t="shared" si="6"/>
        <v>8000</v>
      </c>
      <c r="C16" s="56">
        <f>SUM($B$5:B16)</f>
        <v>96000</v>
      </c>
      <c r="D16" s="57">
        <f t="shared" si="7"/>
        <v>102.25</v>
      </c>
      <c r="E16" s="57">
        <f>IF($C16&gt;wsk!$F$44,IF($C15&lt;wsk!$F$44,($C16-wsk!$F$44)*wsk!$F$8,0),$B16*wsk!$F$8)</f>
        <v>0</v>
      </c>
      <c r="F16" s="57">
        <f>IF($C16&gt;wsk!$F$44,IF($C15&lt;wsk!$F$44,($C16-wsk!$F$44)*wsk!$F$9,0),$B16*wsk!$F$9)</f>
        <v>0</v>
      </c>
      <c r="G16" s="57">
        <f>ROUND(B16*wsk!$F$10,2)</f>
        <v>196</v>
      </c>
      <c r="H16" s="57">
        <f t="shared" si="2"/>
        <v>196</v>
      </c>
      <c r="I16" s="56">
        <f>ROUND(SUM($B$5:B16)-SUM($D$5:D16)-SUM($H$5:H16),)</f>
        <v>79667</v>
      </c>
      <c r="J16" s="56">
        <f t="shared" si="3"/>
        <v>7702</v>
      </c>
      <c r="K16" s="57">
        <f>ROUND((B16-H16)*wsk!$F$11,2)</f>
        <v>604.81</v>
      </c>
      <c r="L16" s="57">
        <f>ROUND((B16-H16)*wsk!$F$12,2)</f>
        <v>78.04</v>
      </c>
      <c r="M16" s="57">
        <f t="shared" si="4"/>
        <v>682.8499999999999</v>
      </c>
      <c r="N16" s="57">
        <f t="shared" si="8"/>
        <v>44.17</v>
      </c>
      <c r="O16" s="57">
        <f>ROUND(IF(I16&gt;skala!$D$3,IF(I16&gt;skala!$D$8,IF(I15&lt;skala!$D$8,(skala!$D$8-I15)*0.3+(I16-skala!$D$8)*0.4,J16*0.4),IF(I15&lt;skala!$D$3,(skala!$D$3-I15)*0.19+(I16-skala!$D$3)*0.3,J16*0.3)),J16*0.19)-K16-N16,2)</f>
        <v>2223.52</v>
      </c>
      <c r="P16" s="56">
        <f t="shared" si="0"/>
        <v>4897.629999999999</v>
      </c>
      <c r="Q16" s="57">
        <f>IF($C16&gt;wsk!$D$44,IF($C15&lt;wsk!$D$44,($C16-wsk!$D$44)*0.0976,0),$B16*0.0976)</f>
        <v>0</v>
      </c>
      <c r="R16" s="57">
        <f>IF($C16&gt;wsk!$F$44,IF($C15&lt;wsk!$F$44,($C16-wsk!$F$44)*wsk!$F$17,0),$B16*wsk!$F$17)</f>
        <v>0</v>
      </c>
      <c r="S16" s="57">
        <f>ROUND(B16*wsk!$F$18,2)</f>
        <v>154.4</v>
      </c>
      <c r="T16" s="57">
        <f>ROUND(B16*wsk!$F$19,2)</f>
        <v>12</v>
      </c>
      <c r="U16" s="57">
        <f>ROUND(B16*wsk!$F$20,2)</f>
        <v>196</v>
      </c>
      <c r="V16" s="56">
        <f t="shared" si="5"/>
        <v>362.4</v>
      </c>
      <c r="W16" s="56">
        <f t="shared" si="1"/>
        <v>8362.4</v>
      </c>
    </row>
    <row r="17" spans="1:23" ht="13.5" thickBot="1">
      <c r="A17" s="60" t="s">
        <v>85</v>
      </c>
      <c r="B17" s="58">
        <f>SUM(B5:B16)</f>
        <v>96000</v>
      </c>
      <c r="C17" s="58">
        <f>C16</f>
        <v>96000</v>
      </c>
      <c r="D17" s="58">
        <f>SUM(D5:D16)</f>
        <v>1227</v>
      </c>
      <c r="E17" s="58">
        <f>SUM(E5:E16)</f>
        <v>7655.744000000001</v>
      </c>
      <c r="F17" s="58">
        <f>SUM(F5:F16)</f>
        <v>5098.6</v>
      </c>
      <c r="G17" s="58">
        <f>SUM(G5:G16)</f>
        <v>2352</v>
      </c>
      <c r="H17" s="58">
        <f>SUM(H5:H16)</f>
        <v>15106.344000000001</v>
      </c>
      <c r="I17" s="58">
        <f>I16</f>
        <v>79667</v>
      </c>
      <c r="J17" s="58">
        <f>SUM(J5:J16)</f>
        <v>79668</v>
      </c>
      <c r="K17" s="58">
        <f>SUM(K5:K16)</f>
        <v>6269.279999999999</v>
      </c>
      <c r="L17" s="58">
        <f>SUM(L5:L16)</f>
        <v>808.9199999999998</v>
      </c>
      <c r="M17" s="58">
        <f aca="true" t="shared" si="9" ref="M17:W17">SUM(M5:M16)</f>
        <v>7078.199999999999</v>
      </c>
      <c r="N17" s="58">
        <f t="shared" si="9"/>
        <v>530.0400000000001</v>
      </c>
      <c r="O17" s="58">
        <f t="shared" si="9"/>
        <v>13590.34</v>
      </c>
      <c r="P17" s="58">
        <f t="shared" si="9"/>
        <v>60225.115999999995</v>
      </c>
      <c r="Q17" s="58">
        <f t="shared" si="9"/>
        <v>6568.4800000000005</v>
      </c>
      <c r="R17" s="58">
        <f t="shared" si="9"/>
        <v>5098.6</v>
      </c>
      <c r="S17" s="58">
        <f t="shared" si="9"/>
        <v>1852.8000000000004</v>
      </c>
      <c r="T17" s="58">
        <f t="shared" si="9"/>
        <v>144</v>
      </c>
      <c r="U17" s="58">
        <f t="shared" si="9"/>
        <v>2352</v>
      </c>
      <c r="V17" s="58">
        <f t="shared" si="9"/>
        <v>16015.880000000003</v>
      </c>
      <c r="W17" s="58">
        <f t="shared" si="9"/>
        <v>112015.87999999998</v>
      </c>
    </row>
    <row r="18" spans="17:18" s="42" customFormat="1" ht="12.75">
      <c r="Q18" s="42" t="b">
        <f>E17=Q17</f>
        <v>0</v>
      </c>
      <c r="R18" s="42" t="b">
        <f>F17=R17</f>
        <v>1</v>
      </c>
    </row>
    <row r="19" ht="12.75" hidden="1" outlineLevel="1"/>
    <row r="20" spans="10:24" ht="12.75" hidden="1" outlineLevel="1">
      <c r="J20" s="43">
        <f>J17</f>
        <v>79668</v>
      </c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</row>
    <row r="21" spans="10:24" ht="12.75" hidden="1" outlineLevel="1">
      <c r="J21" s="43">
        <f>IF(J20&gt;skala!$D$3,IF(J20&gt;skala!$D$8,skala!$D$8,skala!$D$3),0)</f>
        <v>74048</v>
      </c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</row>
    <row r="22" spans="10:24" ht="12.75" hidden="1" outlineLevel="1">
      <c r="J22" s="43"/>
      <c r="K22" s="3"/>
      <c r="L22" s="3"/>
      <c r="M22" s="3"/>
      <c r="N22" s="3"/>
      <c r="P22" s="3"/>
      <c r="Q22" s="3"/>
      <c r="R22" s="3"/>
      <c r="S22" s="3"/>
      <c r="T22" s="3"/>
      <c r="U22" s="3"/>
      <c r="V22" s="3"/>
      <c r="W22" s="3"/>
      <c r="X22" s="3"/>
    </row>
    <row r="23" spans="10:24" ht="12.75" hidden="1" outlineLevel="1">
      <c r="J23" s="44">
        <f>J20-J21</f>
        <v>5620</v>
      </c>
      <c r="K23" s="3"/>
      <c r="L23" s="3"/>
      <c r="M23" s="3"/>
      <c r="N23" s="3"/>
      <c r="P23" s="3"/>
      <c r="Q23" s="3"/>
      <c r="R23" s="3"/>
      <c r="S23" s="3"/>
      <c r="T23" s="3"/>
      <c r="U23" s="3"/>
      <c r="V23" s="3"/>
      <c r="W23" s="3"/>
      <c r="X23" s="3"/>
    </row>
    <row r="24" spans="10:24" ht="12.75" hidden="1" outlineLevel="1">
      <c r="J24" s="43">
        <f>IF(J23&gt;skala!F12,J23*skala!F4-skala!F5,0)</f>
        <v>537.7199999999999</v>
      </c>
      <c r="K24" s="3"/>
      <c r="L24" s="3"/>
      <c r="M24" s="3"/>
      <c r="N24" s="3"/>
      <c r="P24" s="3"/>
      <c r="Q24" s="3"/>
      <c r="R24" s="3"/>
      <c r="S24" s="3"/>
      <c r="T24" s="3"/>
      <c r="U24" s="3"/>
      <c r="V24" s="3"/>
      <c r="W24" s="3"/>
      <c r="X24" s="3"/>
    </row>
    <row r="25" spans="9:24" ht="12.75" hidden="1" outlineLevel="1">
      <c r="I25" s="43">
        <f>IF(J24&gt;0,skala!F7,0)</f>
        <v>6504.4800000000005</v>
      </c>
      <c r="J25" s="43">
        <f>(J23-I25)*skala!F9</f>
        <v>-265.3440000000001</v>
      </c>
      <c r="K25" s="3"/>
      <c r="L25" s="3"/>
      <c r="M25" s="3"/>
      <c r="N25" s="3"/>
      <c r="P25" s="3"/>
      <c r="Q25" s="3"/>
      <c r="R25" s="3"/>
      <c r="S25" s="3"/>
      <c r="T25" s="3"/>
      <c r="U25" s="3"/>
      <c r="V25" s="3"/>
      <c r="W25" s="3"/>
      <c r="X25" s="3"/>
    </row>
    <row r="26" spans="9:24" ht="12.75" hidden="1" outlineLevel="1">
      <c r="I26" s="43">
        <f>IF(I25&gt;0,skala!F10,0)</f>
        <v>17611.68</v>
      </c>
      <c r="J26" s="43">
        <f>IF(J23&lt;I26,0,(J23-I26)*skala!F11)</f>
        <v>0</v>
      </c>
      <c r="K26" s="3"/>
      <c r="L26" s="3"/>
      <c r="M26" s="3"/>
      <c r="N26" s="3"/>
      <c r="P26" s="3"/>
      <c r="Q26" s="3"/>
      <c r="R26" s="3"/>
      <c r="S26" s="3"/>
      <c r="T26" s="3"/>
      <c r="U26" s="3"/>
      <c r="V26" s="3"/>
      <c r="W26" s="3"/>
      <c r="X26" s="3"/>
    </row>
    <row r="27" spans="10:24" ht="12.75" hidden="1" outlineLevel="1">
      <c r="J27" s="43"/>
      <c r="K27" s="3"/>
      <c r="L27" s="3"/>
      <c r="M27" s="3"/>
      <c r="N27" s="3"/>
      <c r="P27" s="3"/>
      <c r="Q27" s="3"/>
      <c r="R27" s="3"/>
      <c r="S27" s="3"/>
      <c r="T27" s="3"/>
      <c r="U27" s="3"/>
      <c r="V27" s="3"/>
      <c r="W27" s="3"/>
      <c r="X27" s="3"/>
    </row>
    <row r="28" spans="10:24" ht="12.75" hidden="1" outlineLevel="1">
      <c r="J28" s="44">
        <f>SUM(J24:J27)</f>
        <v>272.3759999999998</v>
      </c>
      <c r="K28" s="3"/>
      <c r="L28" s="3"/>
      <c r="M28" s="3"/>
      <c r="N28" s="3"/>
      <c r="P28" s="3"/>
      <c r="Q28" s="3"/>
      <c r="R28" s="3"/>
      <c r="S28" s="3"/>
      <c r="T28" s="3"/>
      <c r="U28" s="3"/>
      <c r="V28" s="3"/>
      <c r="W28" s="3"/>
      <c r="X28" s="3"/>
    </row>
    <row r="29" ht="12.75" hidden="1" outlineLevel="1">
      <c r="J29" s="43">
        <f>-O17</f>
        <v>-13590.34</v>
      </c>
    </row>
    <row r="30" ht="12.75" hidden="1" outlineLevel="1">
      <c r="J30" s="43">
        <f>-K17</f>
        <v>-6269.279999999999</v>
      </c>
    </row>
    <row r="31" ht="12.75" hidden="1" outlineLevel="1">
      <c r="J31" s="43"/>
    </row>
    <row r="32" ht="12.75" hidden="1" outlineLevel="1">
      <c r="J32" s="44">
        <f>SUM(J28:J31)</f>
        <v>-19587.244</v>
      </c>
    </row>
    <row r="33" ht="12.75" hidden="1" outlineLevel="1">
      <c r="J33" s="1" t="str">
        <f>IF(J32&lt;1,"OK.!","BŁĄD!")</f>
        <v>OK.!</v>
      </c>
    </row>
    <row r="34" ht="12.75" hidden="1" outlineLevel="1"/>
    <row r="35" ht="12.75" hidden="1" outlineLevel="1"/>
    <row r="36" s="42" customFormat="1" ht="12.75" hidden="1" outlineLevel="1"/>
    <row r="37" ht="12.75" collapsed="1">
      <c r="B37" s="41" t="s">
        <v>60</v>
      </c>
    </row>
    <row r="39" spans="1:23" ht="63.75">
      <c r="A39" s="45"/>
      <c r="B39" s="46" t="s">
        <v>64</v>
      </c>
      <c r="C39" s="46" t="s">
        <v>89</v>
      </c>
      <c r="D39" s="46" t="s">
        <v>65</v>
      </c>
      <c r="E39" s="46" t="s">
        <v>15</v>
      </c>
      <c r="F39" s="46" t="s">
        <v>16</v>
      </c>
      <c r="G39" s="46" t="s">
        <v>17</v>
      </c>
      <c r="H39" s="46" t="s">
        <v>66</v>
      </c>
      <c r="I39" s="46" t="s">
        <v>88</v>
      </c>
      <c r="J39" s="46" t="s">
        <v>67</v>
      </c>
      <c r="K39" s="46" t="s">
        <v>111</v>
      </c>
      <c r="L39" s="46" t="s">
        <v>112</v>
      </c>
      <c r="M39" s="46" t="s">
        <v>69</v>
      </c>
      <c r="N39" s="93" t="s">
        <v>23</v>
      </c>
      <c r="O39" s="46" t="s">
        <v>68</v>
      </c>
      <c r="P39" s="46" t="s">
        <v>70</v>
      </c>
      <c r="Q39" s="46" t="s">
        <v>15</v>
      </c>
      <c r="R39" s="46" t="s">
        <v>16</v>
      </c>
      <c r="S39" s="46" t="s">
        <v>54</v>
      </c>
      <c r="T39" s="46" t="s">
        <v>86</v>
      </c>
      <c r="U39" s="46" t="s">
        <v>87</v>
      </c>
      <c r="V39" s="46" t="s">
        <v>71</v>
      </c>
      <c r="W39" s="46" t="s">
        <v>72</v>
      </c>
    </row>
    <row r="40" spans="1:25" ht="12.75">
      <c r="A40" s="47" t="s">
        <v>73</v>
      </c>
      <c r="B40" s="87">
        <f>Porównanie!$B$6</f>
        <v>8000</v>
      </c>
      <c r="C40" s="48">
        <f>SUM($B$40:B40)</f>
        <v>8000</v>
      </c>
      <c r="D40" s="49">
        <f>y!$R$13</f>
        <v>1600</v>
      </c>
      <c r="E40" s="49">
        <f>IF($C40&gt;wsk!$F$44,IF($C39&lt;wsk!$F$44,($C40-wsk!$F$44)*wsk!$F$8,0),$B40*wsk!$F$8)</f>
        <v>780.8000000000001</v>
      </c>
      <c r="F40" s="49">
        <f>IF($C40&gt;wsk!$F$44,IF($C39&lt;wsk!$F$44,($C40-wsk!$F$44)*wsk!$F$9,0),$B40*wsk!$F$9)</f>
        <v>520</v>
      </c>
      <c r="G40" s="49">
        <f>ROUND(B40*wsk!$F$10,2)</f>
        <v>196</v>
      </c>
      <c r="H40" s="49">
        <f>SUM(E40:G40)</f>
        <v>1496.8000000000002</v>
      </c>
      <c r="I40" s="48">
        <f>ROUND(SUM($B$40:B40)-SUM($D$40:D40)-SUM($H$40:H40),)</f>
        <v>4903</v>
      </c>
      <c r="J40" s="48">
        <f>ROUND(SUM(B40,-D40,-H40),0)</f>
        <v>4903</v>
      </c>
      <c r="K40" s="88">
        <f>ROUND((B40-H40)*wsk!$F$11,2)</f>
        <v>504</v>
      </c>
      <c r="L40" s="88">
        <f>ROUND((B40-H40)*wsk!$F$12,2)</f>
        <v>65.03</v>
      </c>
      <c r="M40" s="49">
        <f>SUM(K40:L40)</f>
        <v>569.03</v>
      </c>
      <c r="N40" s="49">
        <v>0</v>
      </c>
      <c r="O40" s="49">
        <f>ROUND(IF(I40&gt;skala!$D$3,IF(I40&gt;skala!$D$8,IF(I39&lt;skala!$D$8,(skala!$D$8-I39)*0.3+(I40-skala!$D$8)*0.4,J40*0.4),IF(I39&lt;skala!$D$3,(skala!$D$3-I39)*0.19+(I40-skala!$D$3)*0.3,J40*0.3)),J40*0.19)-K40-N40,2)</f>
        <v>427.57</v>
      </c>
      <c r="P40" s="48">
        <f aca="true" t="shared" si="10" ref="P40:P51">SUM(B40,-H40,-M40,-O40)</f>
        <v>5506.6</v>
      </c>
      <c r="Q40" s="49">
        <f>IF($C40&gt;wsk!$F$44,IF($C39&lt;wsk!$F$44,($C40-wsk!$F$44)*wsk!$F$16,0),$B40*wsk!$F$16)</f>
        <v>780.8000000000001</v>
      </c>
      <c r="R40" s="49">
        <f>IF($C40&gt;wsk!$F$44,IF($C39&lt;wsk!$F$44,($C40-wsk!$F$44)*wsk!$F$17,0),$B40*wsk!$F$17)</f>
        <v>520</v>
      </c>
      <c r="S40" s="49">
        <f>ROUND(B40*wsk!$F$18,2)</f>
        <v>154.4</v>
      </c>
      <c r="T40" s="49">
        <f>ROUND(B40*wsk!$F$19,2)</f>
        <v>12</v>
      </c>
      <c r="U40" s="49">
        <f>ROUND(B40*wsk!$F$20,2)</f>
        <v>196</v>
      </c>
      <c r="V40" s="48">
        <f>SUM(Q40:U40)</f>
        <v>1663.2000000000003</v>
      </c>
      <c r="W40" s="48">
        <f aca="true" t="shared" si="11" ref="W40:W51">SUM(B40,V40)</f>
        <v>9663.2</v>
      </c>
      <c r="X40" s="50" t="b">
        <f>y!V13=P40</f>
        <v>1</v>
      </c>
      <c r="Y40" s="51" t="b">
        <f>y!AD13=W40</f>
        <v>1</v>
      </c>
    </row>
    <row r="41" spans="1:23" ht="12.75">
      <c r="A41" s="52" t="s">
        <v>74</v>
      </c>
      <c r="B41" s="53">
        <f>B40</f>
        <v>8000</v>
      </c>
      <c r="C41" s="53">
        <f>SUM($B$40:B41)</f>
        <v>16000</v>
      </c>
      <c r="D41" s="54">
        <f>D40</f>
        <v>1600</v>
      </c>
      <c r="E41" s="54">
        <f>IF($C41&gt;wsk!$F$44,IF($C40&lt;wsk!$F$44,($C41-wsk!$F$44)*wsk!$F$8,0),$B41*wsk!$F$8)</f>
        <v>780.8000000000001</v>
      </c>
      <c r="F41" s="54">
        <f>IF($C41&gt;wsk!$F$44,IF($C40&lt;wsk!$F$44,($C41-wsk!$F$44)*wsk!$F$9,0),$B41*wsk!$F$9)</f>
        <v>520</v>
      </c>
      <c r="G41" s="54">
        <f>ROUND(B41*wsk!$F$10,2)</f>
        <v>196</v>
      </c>
      <c r="H41" s="54">
        <f aca="true" t="shared" si="12" ref="H41:H51">SUM(E41:G41)</f>
        <v>1496.8000000000002</v>
      </c>
      <c r="I41" s="53">
        <f>ROUND(SUM($B$40:B41)-SUM($D$40:D41)-SUM($H$40:H41),)</f>
        <v>9806</v>
      </c>
      <c r="J41" s="53">
        <f aca="true" t="shared" si="13" ref="J41:J51">ROUND(SUM(B41,-D41,-H41),0)</f>
        <v>4903</v>
      </c>
      <c r="K41" s="54">
        <f>ROUND((B41-H41)*wsk!$F$11,2)</f>
        <v>504</v>
      </c>
      <c r="L41" s="54">
        <f>ROUND((B41-H41)*wsk!$F$12,2)</f>
        <v>65.03</v>
      </c>
      <c r="M41" s="54">
        <f aca="true" t="shared" si="14" ref="M41:M51">SUM(K41:L41)</f>
        <v>569.03</v>
      </c>
      <c r="N41" s="54">
        <v>0</v>
      </c>
      <c r="O41" s="54">
        <f>ROUND(IF(I41&gt;skala!$D$3,IF(I41&gt;skala!$D$8,IF(I40&lt;skala!$D$8,(skala!$D$8-I40)*0.3+(I41-skala!$D$8)*0.4,J41*0.4),IF(I40&lt;skala!$D$3,(skala!$D$3-I40)*0.19+(I41-skala!$D$3)*0.3,J41*0.3)),J41*0.19)-K41-N41,2)</f>
        <v>427.57</v>
      </c>
      <c r="P41" s="53">
        <f t="shared" si="10"/>
        <v>5506.6</v>
      </c>
      <c r="Q41" s="54">
        <f>IF($C41&gt;wsk!$F$44,IF($C40&lt;wsk!$F$44,($C41-wsk!$F$44)*wsk!$F$16,0),$B41*wsk!$F$16)</f>
        <v>780.8000000000001</v>
      </c>
      <c r="R41" s="54">
        <f>IF($C41&gt;wsk!$F$44,IF($C40&lt;wsk!$F$44,($C41-wsk!$F$44)*wsk!$F$17,0),$B41*wsk!$F$17)</f>
        <v>520</v>
      </c>
      <c r="S41" s="54">
        <f>ROUND(B41*wsk!$F$18,2)</f>
        <v>154.4</v>
      </c>
      <c r="T41" s="54">
        <f>ROUND(B41*wsk!$F$19,2)</f>
        <v>12</v>
      </c>
      <c r="U41" s="54">
        <f>ROUND(B41*wsk!$F$20,2)</f>
        <v>196</v>
      </c>
      <c r="V41" s="53">
        <f aca="true" t="shared" si="15" ref="V41:V51">SUM(Q41:U41)</f>
        <v>1663.2000000000003</v>
      </c>
      <c r="W41" s="53">
        <f t="shared" si="11"/>
        <v>9663.2</v>
      </c>
    </row>
    <row r="42" spans="1:23" ht="12.75">
      <c r="A42" s="47" t="s">
        <v>75</v>
      </c>
      <c r="B42" s="48">
        <f aca="true" t="shared" si="16" ref="B42:B51">B41</f>
        <v>8000</v>
      </c>
      <c r="C42" s="48">
        <f>SUM($B$40:B42)</f>
        <v>24000</v>
      </c>
      <c r="D42" s="49">
        <f aca="true" t="shared" si="17" ref="D42:D51">D41</f>
        <v>1600</v>
      </c>
      <c r="E42" s="49">
        <f>IF($C42&gt;wsk!$F$44,IF($C41&lt;wsk!$F$44,($C42-wsk!$F$44)*wsk!$F$8,0),$B42*wsk!$F$8)</f>
        <v>780.8000000000001</v>
      </c>
      <c r="F42" s="49">
        <f>IF($C42&gt;wsk!$F$44,IF($C41&lt;wsk!$F$44,($C42-wsk!$F$44)*wsk!$F$9,0),$B42*wsk!$F$9)</f>
        <v>520</v>
      </c>
      <c r="G42" s="49">
        <f>ROUND(B42*wsk!$F$10,2)</f>
        <v>196</v>
      </c>
      <c r="H42" s="49">
        <f t="shared" si="12"/>
        <v>1496.8000000000002</v>
      </c>
      <c r="I42" s="48">
        <f>ROUND(SUM($B$40:B42)-SUM($D$40:D42)-SUM($H$40:H42),)</f>
        <v>14710</v>
      </c>
      <c r="J42" s="48">
        <f t="shared" si="13"/>
        <v>4903</v>
      </c>
      <c r="K42" s="49">
        <f>ROUND((B42-H42)*wsk!$F$11,2)</f>
        <v>504</v>
      </c>
      <c r="L42" s="49">
        <f>ROUND((B42-H42)*wsk!$F$12,2)</f>
        <v>65.03</v>
      </c>
      <c r="M42" s="49">
        <f t="shared" si="14"/>
        <v>569.03</v>
      </c>
      <c r="N42" s="49">
        <v>0</v>
      </c>
      <c r="O42" s="49">
        <f>ROUND(IF(I42&gt;skala!$D$3,IF(I42&gt;skala!$D$8,IF(I41&lt;skala!$D$8,(skala!$D$8-I41)*0.3+(I42-skala!$D$8)*0.4,J42*0.4),IF(I41&lt;skala!$D$3,(skala!$D$3-I41)*0.19+(I42-skala!$D$3)*0.3,J42*0.3)),J42*0.19)-K42-N42,2)</f>
        <v>427.57</v>
      </c>
      <c r="P42" s="48">
        <f t="shared" si="10"/>
        <v>5506.6</v>
      </c>
      <c r="Q42" s="49">
        <f>IF($C42&gt;wsk!$F$44,IF($C41&lt;wsk!$F$44,($C42-wsk!$F$44)*wsk!$F$16,0),$B42*wsk!$F$16)</f>
        <v>780.8000000000001</v>
      </c>
      <c r="R42" s="49">
        <f>IF($C42&gt;wsk!$F$44,IF($C41&lt;wsk!$F$44,($C42-wsk!$F$44)*wsk!$F$17,0),$B42*wsk!$F$17)</f>
        <v>520</v>
      </c>
      <c r="S42" s="49">
        <f>ROUND(B42*wsk!$F$18,2)</f>
        <v>154.4</v>
      </c>
      <c r="T42" s="49">
        <f>ROUND(B42*wsk!$F$19,2)</f>
        <v>12</v>
      </c>
      <c r="U42" s="49">
        <f>ROUND(B42*wsk!$F$20,2)</f>
        <v>196</v>
      </c>
      <c r="V42" s="48">
        <f t="shared" si="15"/>
        <v>1663.2000000000003</v>
      </c>
      <c r="W42" s="48">
        <f t="shared" si="11"/>
        <v>9663.2</v>
      </c>
    </row>
    <row r="43" spans="1:23" ht="12.75">
      <c r="A43" s="52" t="s">
        <v>76</v>
      </c>
      <c r="B43" s="53">
        <f t="shared" si="16"/>
        <v>8000</v>
      </c>
      <c r="C43" s="53">
        <f>SUM($B$40:B43)</f>
        <v>32000</v>
      </c>
      <c r="D43" s="54">
        <f t="shared" si="17"/>
        <v>1600</v>
      </c>
      <c r="E43" s="54">
        <f>IF($C43&gt;wsk!$F$44,IF($C42&lt;wsk!$F$44,($C43-wsk!$F$44)*wsk!$F$8,0),$B43*wsk!$F$8)</f>
        <v>780.8000000000001</v>
      </c>
      <c r="F43" s="54">
        <f>IF($C43&gt;wsk!$F$44,IF($C42&lt;wsk!$F$44,($C43-wsk!$F$44)*wsk!$F$9,0),$B43*wsk!$F$9)</f>
        <v>520</v>
      </c>
      <c r="G43" s="54">
        <f>ROUND(B43*wsk!$F$10,2)</f>
        <v>196</v>
      </c>
      <c r="H43" s="54">
        <f t="shared" si="12"/>
        <v>1496.8000000000002</v>
      </c>
      <c r="I43" s="53">
        <f>ROUND(SUM($B$40:B43)-SUM($D$40:D43)-SUM($H$40:H43),)</f>
        <v>19613</v>
      </c>
      <c r="J43" s="53">
        <f t="shared" si="13"/>
        <v>4903</v>
      </c>
      <c r="K43" s="54">
        <f>ROUND((B43-H43)*wsk!$F$11,2)</f>
        <v>504</v>
      </c>
      <c r="L43" s="54">
        <f>ROUND((B43-H43)*wsk!$F$12,2)</f>
        <v>65.03</v>
      </c>
      <c r="M43" s="54">
        <f t="shared" si="14"/>
        <v>569.03</v>
      </c>
      <c r="N43" s="54">
        <v>0</v>
      </c>
      <c r="O43" s="54">
        <f>ROUND(IF(I43&gt;skala!$D$3,IF(I43&gt;skala!$D$8,IF(I42&lt;skala!$D$8,(skala!$D$8-I42)*0.3+(I43-skala!$D$8)*0.4,J43*0.4),IF(I42&lt;skala!$D$3,(skala!$D$3-I42)*0.19+(I43-skala!$D$3)*0.3,J43*0.3)),J43*0.19)-K43-N43,2)</f>
        <v>427.57</v>
      </c>
      <c r="P43" s="53">
        <f t="shared" si="10"/>
        <v>5506.6</v>
      </c>
      <c r="Q43" s="54">
        <f>IF($C43&gt;wsk!$F$44,IF($C42&lt;wsk!$F$44,($C43-wsk!$F$44)*wsk!$F$16,0),$B43*wsk!$F$16)</f>
        <v>780.8000000000001</v>
      </c>
      <c r="R43" s="54">
        <f>IF($C43&gt;wsk!$F$44,IF($C42&lt;wsk!$F$44,($C43-wsk!$F$44)*wsk!$F$17,0),$B43*wsk!$F$17)</f>
        <v>520</v>
      </c>
      <c r="S43" s="54">
        <f>ROUND(B43*wsk!$F$18,2)</f>
        <v>154.4</v>
      </c>
      <c r="T43" s="54">
        <f>ROUND(B43*wsk!$F$19,2)</f>
        <v>12</v>
      </c>
      <c r="U43" s="54">
        <f>ROUND(B43*wsk!$F$20,2)</f>
        <v>196</v>
      </c>
      <c r="V43" s="53">
        <f t="shared" si="15"/>
        <v>1663.2000000000003</v>
      </c>
      <c r="W43" s="53">
        <f t="shared" si="11"/>
        <v>9663.2</v>
      </c>
    </row>
    <row r="44" spans="1:23" ht="12.75">
      <c r="A44" s="47" t="s">
        <v>77</v>
      </c>
      <c r="B44" s="48">
        <f t="shared" si="16"/>
        <v>8000</v>
      </c>
      <c r="C44" s="48">
        <f>SUM($B$40:B44)</f>
        <v>40000</v>
      </c>
      <c r="D44" s="49">
        <f t="shared" si="17"/>
        <v>1600</v>
      </c>
      <c r="E44" s="49">
        <f>IF($C44&gt;wsk!$F$44,IF($C43&lt;wsk!$F$44,($C44-wsk!$F$44)*wsk!$F$8,0),$B44*wsk!$F$8)</f>
        <v>780.8000000000001</v>
      </c>
      <c r="F44" s="49">
        <f>IF($C44&gt;wsk!$F$44,IF($C43&lt;wsk!$F$44,($C44-wsk!$F$44)*wsk!$F$9,0),$B44*wsk!$F$9)</f>
        <v>520</v>
      </c>
      <c r="G44" s="49">
        <f>ROUND(B44*wsk!$F$10,2)</f>
        <v>196</v>
      </c>
      <c r="H44" s="49">
        <f t="shared" si="12"/>
        <v>1496.8000000000002</v>
      </c>
      <c r="I44" s="48">
        <f>ROUND(SUM($B$40:B44)-SUM($D$40:D44)-SUM($H$40:H44),)</f>
        <v>24516</v>
      </c>
      <c r="J44" s="48">
        <f t="shared" si="13"/>
        <v>4903</v>
      </c>
      <c r="K44" s="49">
        <f>ROUND((B44-H44)*wsk!$F$11,2)</f>
        <v>504</v>
      </c>
      <c r="L44" s="49">
        <f>ROUND((B44-H44)*wsk!$F$12,2)</f>
        <v>65.03</v>
      </c>
      <c r="M44" s="49">
        <f t="shared" si="14"/>
        <v>569.03</v>
      </c>
      <c r="N44" s="49">
        <v>0</v>
      </c>
      <c r="O44" s="49">
        <f>ROUND(IF(I44&gt;skala!$D$3,IF(I44&gt;skala!$D$8,IF(I43&lt;skala!$D$8,(skala!$D$8-I43)*0.3+(I44-skala!$D$8)*0.4,J44*0.4),IF(I43&lt;skala!$D$3,(skala!$D$3-I43)*0.19+(I44-skala!$D$3)*0.3,J44*0.3)),J44*0.19)-K44-N44,2)</f>
        <v>427.57</v>
      </c>
      <c r="P44" s="48">
        <f t="shared" si="10"/>
        <v>5506.6</v>
      </c>
      <c r="Q44" s="49">
        <f>IF($C44&gt;wsk!$F$44,IF($C43&lt;wsk!$F$44,($C44-wsk!$F$44)*wsk!$F$16,0),$B44*wsk!$F$16)</f>
        <v>780.8000000000001</v>
      </c>
      <c r="R44" s="49">
        <f>IF($C44&gt;wsk!$F$44,IF($C43&lt;wsk!$F$44,($C44-wsk!$F$44)*wsk!$F$17,0),$B44*wsk!$F$17)</f>
        <v>520</v>
      </c>
      <c r="S44" s="49">
        <f>ROUND(B44*wsk!$F$18,2)</f>
        <v>154.4</v>
      </c>
      <c r="T44" s="49">
        <f>ROUND(B44*wsk!$F$19,2)</f>
        <v>12</v>
      </c>
      <c r="U44" s="49">
        <f>ROUND(B44*wsk!$F$20,2)</f>
        <v>196</v>
      </c>
      <c r="V44" s="48">
        <f t="shared" si="15"/>
        <v>1663.2000000000003</v>
      </c>
      <c r="W44" s="48">
        <f t="shared" si="11"/>
        <v>9663.2</v>
      </c>
    </row>
    <row r="45" spans="1:23" ht="12.75">
      <c r="A45" s="52" t="s">
        <v>78</v>
      </c>
      <c r="B45" s="53">
        <f t="shared" si="16"/>
        <v>8000</v>
      </c>
      <c r="C45" s="53">
        <f>SUM($B$40:B45)</f>
        <v>48000</v>
      </c>
      <c r="D45" s="54">
        <f t="shared" si="17"/>
        <v>1600</v>
      </c>
      <c r="E45" s="54">
        <f>IF($C45&gt;wsk!$F$44,IF($C44&lt;wsk!$F$44,($C45-wsk!$F$44)*wsk!$F$8,0),$B45*wsk!$F$8)</f>
        <v>780.8000000000001</v>
      </c>
      <c r="F45" s="54">
        <f>IF($C45&gt;wsk!$F$44,IF($C44&lt;wsk!$F$44,($C45-wsk!$F$44)*wsk!$F$9,0),$B45*wsk!$F$9)</f>
        <v>520</v>
      </c>
      <c r="G45" s="54">
        <f>ROUND(B45*wsk!$F$10,2)</f>
        <v>196</v>
      </c>
      <c r="H45" s="54">
        <f t="shared" si="12"/>
        <v>1496.8000000000002</v>
      </c>
      <c r="I45" s="53">
        <f>ROUND(SUM($B$40:B45)-SUM($D$40:D45)-SUM($H$40:H45),)</f>
        <v>29419</v>
      </c>
      <c r="J45" s="53">
        <f t="shared" si="13"/>
        <v>4903</v>
      </c>
      <c r="K45" s="54">
        <f>ROUND((B45-H45)*wsk!$F$11,2)</f>
        <v>504</v>
      </c>
      <c r="L45" s="54">
        <f>ROUND((B45-H45)*wsk!$F$12,2)</f>
        <v>65.03</v>
      </c>
      <c r="M45" s="54">
        <f t="shared" si="14"/>
        <v>569.03</v>
      </c>
      <c r="N45" s="54">
        <v>0</v>
      </c>
      <c r="O45" s="54">
        <f>ROUND(IF(I45&gt;skala!$D$3,IF(I45&gt;skala!$D$8,IF(I44&lt;skala!$D$8,(skala!$D$8-I44)*0.3+(I45-skala!$D$8)*0.4,J45*0.4),IF(I44&lt;skala!$D$3,(skala!$D$3-I44)*0.19+(I45-skala!$D$3)*0.3,J45*0.3)),J45*0.19)-K45-N45,2)</f>
        <v>427.57</v>
      </c>
      <c r="P45" s="53">
        <f t="shared" si="10"/>
        <v>5506.6</v>
      </c>
      <c r="Q45" s="54">
        <f>IF($C45&gt;wsk!$F$44,IF($C44&lt;wsk!$F$44,($C45-wsk!$F$44)*wsk!$F$16,0),$B45*wsk!$F$16)</f>
        <v>780.8000000000001</v>
      </c>
      <c r="R45" s="54">
        <f>IF($C45&gt;wsk!$F$44,IF($C44&lt;wsk!$F$44,($C45-wsk!$F$44)*wsk!$F$17,0),$B45*wsk!$F$17)</f>
        <v>520</v>
      </c>
      <c r="S45" s="54">
        <f>ROUND(B45*wsk!$F$18,2)</f>
        <v>154.4</v>
      </c>
      <c r="T45" s="54">
        <f>ROUND(B45*wsk!$F$19,2)</f>
        <v>12</v>
      </c>
      <c r="U45" s="54">
        <f>ROUND(B45*wsk!$F$20,2)</f>
        <v>196</v>
      </c>
      <c r="V45" s="53">
        <f t="shared" si="15"/>
        <v>1663.2000000000003</v>
      </c>
      <c r="W45" s="53">
        <f t="shared" si="11"/>
        <v>9663.2</v>
      </c>
    </row>
    <row r="46" spans="1:23" ht="12.75">
      <c r="A46" s="47" t="s">
        <v>79</v>
      </c>
      <c r="B46" s="48">
        <f t="shared" si="16"/>
        <v>8000</v>
      </c>
      <c r="C46" s="48">
        <f>SUM($B$40:B46)</f>
        <v>56000</v>
      </c>
      <c r="D46" s="49">
        <f t="shared" si="17"/>
        <v>1600</v>
      </c>
      <c r="E46" s="49">
        <f>IF($C46&gt;wsk!$F$44,IF($C45&lt;wsk!$F$44,($C46-wsk!$F$44)*wsk!$F$8,0),$B46*wsk!$F$8)</f>
        <v>780.8000000000001</v>
      </c>
      <c r="F46" s="49">
        <f>IF($C46&gt;wsk!$F$44,IF($C45&lt;wsk!$F$44,($C46-wsk!$F$44)*wsk!$F$9,0),$B46*wsk!$F$9)</f>
        <v>520</v>
      </c>
      <c r="G46" s="49">
        <f>ROUND(B46*wsk!$F$10,2)</f>
        <v>196</v>
      </c>
      <c r="H46" s="49">
        <f t="shared" si="12"/>
        <v>1496.8000000000002</v>
      </c>
      <c r="I46" s="48">
        <f>ROUND(SUM($B$40:B46)-SUM($D$40:D46)-SUM($H$40:H46),)</f>
        <v>34322</v>
      </c>
      <c r="J46" s="48">
        <f t="shared" si="13"/>
        <v>4903</v>
      </c>
      <c r="K46" s="49">
        <f>ROUND((B46-H46)*wsk!$F$11,2)</f>
        <v>504</v>
      </c>
      <c r="L46" s="49">
        <f>ROUND((B46-H46)*wsk!$F$12,2)</f>
        <v>65.03</v>
      </c>
      <c r="M46" s="49">
        <f t="shared" si="14"/>
        <v>569.03</v>
      </c>
      <c r="N46" s="49">
        <v>0</v>
      </c>
      <c r="O46" s="49">
        <f>ROUND(IF(I46&gt;skala!$D$3,IF(I46&gt;skala!$D$8,IF(I45&lt;skala!$D$8,(skala!$D$8-I45)*0.3+(I46-skala!$D$8)*0.4,J46*0.4),IF(I45&lt;skala!$D$3,(skala!$D$3-I45)*0.19+(I46-skala!$D$3)*0.3,J46*0.3)),J46*0.19)-K46-N46,2)</f>
        <v>427.57</v>
      </c>
      <c r="P46" s="48">
        <f t="shared" si="10"/>
        <v>5506.6</v>
      </c>
      <c r="Q46" s="49">
        <f>IF($C46&gt;wsk!$F$44,IF($C45&lt;wsk!$F$44,($C46-wsk!$F$44)*wsk!$F$16,0),$B46*wsk!$F$16)</f>
        <v>780.8000000000001</v>
      </c>
      <c r="R46" s="49">
        <f>IF($C46&gt;wsk!$F$44,IF($C45&lt;wsk!$F$44,($C46-wsk!$F$44)*wsk!$F$17,0),$B46*wsk!$F$17)</f>
        <v>520</v>
      </c>
      <c r="S46" s="49">
        <f>ROUND(B46*wsk!$F$18,2)</f>
        <v>154.4</v>
      </c>
      <c r="T46" s="49">
        <f>ROUND(B46*wsk!$F$19,2)</f>
        <v>12</v>
      </c>
      <c r="U46" s="49">
        <f>ROUND(B46*wsk!$F$20,2)</f>
        <v>196</v>
      </c>
      <c r="V46" s="48">
        <f t="shared" si="15"/>
        <v>1663.2000000000003</v>
      </c>
      <c r="W46" s="48">
        <f t="shared" si="11"/>
        <v>9663.2</v>
      </c>
    </row>
    <row r="47" spans="1:23" ht="12.75">
      <c r="A47" s="52" t="s">
        <v>80</v>
      </c>
      <c r="B47" s="53">
        <f t="shared" si="16"/>
        <v>8000</v>
      </c>
      <c r="C47" s="53">
        <f>SUM($B$40:B47)</f>
        <v>64000</v>
      </c>
      <c r="D47" s="54">
        <f t="shared" si="17"/>
        <v>1600</v>
      </c>
      <c r="E47" s="54">
        <f>IF($C47&gt;wsk!$F$44,IF($C46&lt;wsk!$F$44,($C47-wsk!$F$44)*wsk!$F$8,0),$B47*wsk!$F$8)</f>
        <v>780.8000000000001</v>
      </c>
      <c r="F47" s="54">
        <f>IF($C47&gt;wsk!$F$44,IF($C46&lt;wsk!$F$44,($C47-wsk!$F$44)*wsk!$F$9,0),$B47*wsk!$F$9)</f>
        <v>520</v>
      </c>
      <c r="G47" s="54">
        <f>ROUND(B47*wsk!$F$10,2)</f>
        <v>196</v>
      </c>
      <c r="H47" s="54">
        <f t="shared" si="12"/>
        <v>1496.8000000000002</v>
      </c>
      <c r="I47" s="53">
        <f>ROUND(SUM($B$40:B47)-SUM($D$40:D47)-SUM($H$40:H47),)</f>
        <v>39226</v>
      </c>
      <c r="J47" s="53">
        <f t="shared" si="13"/>
        <v>4903</v>
      </c>
      <c r="K47" s="54">
        <f>ROUND((B47-H47)*wsk!$F$11,2)</f>
        <v>504</v>
      </c>
      <c r="L47" s="54">
        <f>ROUND((B47-H47)*wsk!$F$12,2)</f>
        <v>65.03</v>
      </c>
      <c r="M47" s="54">
        <f t="shared" si="14"/>
        <v>569.03</v>
      </c>
      <c r="N47" s="54">
        <v>0</v>
      </c>
      <c r="O47" s="54">
        <f>ROUND(IF(I47&gt;skala!$D$3,IF(I47&gt;skala!$D$8,IF(I46&lt;skala!$D$8,(skala!$D$8-I46)*0.3+(I47-skala!$D$8)*0.4,J47*0.4),IF(I46&lt;skala!$D$3,(skala!$D$3-I46)*0.19+(I47-skala!$D$3)*0.3,J47*0.3)),J47*0.19)-K47-N47,2)</f>
        <v>669.98</v>
      </c>
      <c r="P47" s="53">
        <f t="shared" si="10"/>
        <v>5264.1900000000005</v>
      </c>
      <c r="Q47" s="54">
        <f>IF($C47&gt;wsk!$F$44,IF($C46&lt;wsk!$F$44,($C47-wsk!$F$44)*wsk!$F$16,0),$B47*wsk!$F$16)</f>
        <v>780.8000000000001</v>
      </c>
      <c r="R47" s="54">
        <f>IF($C47&gt;wsk!$F$44,IF($C46&lt;wsk!$F$44,($C47-wsk!$F$44)*wsk!$F$17,0),$B47*wsk!$F$17)</f>
        <v>520</v>
      </c>
      <c r="S47" s="54">
        <f>ROUND(B47*wsk!$F$18,2)</f>
        <v>154.4</v>
      </c>
      <c r="T47" s="54">
        <f>ROUND(B47*wsk!$F$19,2)</f>
        <v>12</v>
      </c>
      <c r="U47" s="54">
        <f>ROUND(B47*wsk!$F$20,2)</f>
        <v>196</v>
      </c>
      <c r="V47" s="53">
        <f t="shared" si="15"/>
        <v>1663.2000000000003</v>
      </c>
      <c r="W47" s="53">
        <f t="shared" si="11"/>
        <v>9663.2</v>
      </c>
    </row>
    <row r="48" spans="1:23" ht="12.75">
      <c r="A48" s="47" t="s">
        <v>81</v>
      </c>
      <c r="B48" s="48">
        <f t="shared" si="16"/>
        <v>8000</v>
      </c>
      <c r="C48" s="48">
        <f>SUM($B$40:B48)</f>
        <v>72000</v>
      </c>
      <c r="D48" s="49">
        <f t="shared" si="17"/>
        <v>1600</v>
      </c>
      <c r="E48" s="49">
        <f>IF($C48&gt;wsk!$F$44,IF($C47&lt;wsk!$F$44,($C48-wsk!$F$44)*wsk!$F$8,0),$B48*wsk!$F$8)</f>
        <v>780.8000000000001</v>
      </c>
      <c r="F48" s="49">
        <f>IF($C48&gt;wsk!$F$44,IF($C47&lt;wsk!$F$44,($C48-wsk!$F$44)*wsk!$F$9,0),$B48*wsk!$F$9)</f>
        <v>520</v>
      </c>
      <c r="G48" s="49">
        <f>ROUND(B48*wsk!$F$10,2)</f>
        <v>196</v>
      </c>
      <c r="H48" s="49">
        <f t="shared" si="12"/>
        <v>1496.8000000000002</v>
      </c>
      <c r="I48" s="48">
        <f>ROUND(SUM($B$40:B48)-SUM($D$40:D48)-SUM($H$40:H48),)</f>
        <v>44129</v>
      </c>
      <c r="J48" s="48">
        <f t="shared" si="13"/>
        <v>4903</v>
      </c>
      <c r="K48" s="49">
        <f>ROUND((B48-H48)*wsk!$F$11,2)</f>
        <v>504</v>
      </c>
      <c r="L48" s="49">
        <f>ROUND((B48-H48)*wsk!$F$12,2)</f>
        <v>65.03</v>
      </c>
      <c r="M48" s="49">
        <f t="shared" si="14"/>
        <v>569.03</v>
      </c>
      <c r="N48" s="49">
        <v>0</v>
      </c>
      <c r="O48" s="49">
        <f>ROUND(IF(I48&gt;skala!$D$3,IF(I48&gt;skala!$D$8,IF(I47&lt;skala!$D$8,(skala!$D$8-I47)*0.3+(I48-skala!$D$8)*0.4,J48*0.4),IF(I47&lt;skala!$D$3,(skala!$D$3-I47)*0.19+(I48-skala!$D$3)*0.3,J48*0.3)),J48*0.19)-K48-N48,2)</f>
        <v>966.9</v>
      </c>
      <c r="P48" s="48">
        <f t="shared" si="10"/>
        <v>4967.27</v>
      </c>
      <c r="Q48" s="49">
        <f>IF($C48&gt;wsk!$F$44,IF($C47&lt;wsk!$F$44,($C48-wsk!$F$44)*wsk!$F$16,0),$B48*wsk!$F$16)</f>
        <v>780.8000000000001</v>
      </c>
      <c r="R48" s="49">
        <f>IF($C48&gt;wsk!$F$44,IF($C47&lt;wsk!$F$44,($C48-wsk!$F$44)*wsk!$F$17,0),$B48*wsk!$F$17)</f>
        <v>520</v>
      </c>
      <c r="S48" s="49">
        <f>ROUND(B48*wsk!$F$18,2)</f>
        <v>154.4</v>
      </c>
      <c r="T48" s="49">
        <f>ROUND(B48*wsk!$F$19,2)</f>
        <v>12</v>
      </c>
      <c r="U48" s="49">
        <f>ROUND(B48*wsk!$F$20,2)</f>
        <v>196</v>
      </c>
      <c r="V48" s="48">
        <f t="shared" si="15"/>
        <v>1663.2000000000003</v>
      </c>
      <c r="W48" s="48">
        <f t="shared" si="11"/>
        <v>9663.2</v>
      </c>
    </row>
    <row r="49" spans="1:23" ht="12.75">
      <c r="A49" s="52" t="s">
        <v>82</v>
      </c>
      <c r="B49" s="53">
        <f t="shared" si="16"/>
        <v>8000</v>
      </c>
      <c r="C49" s="53">
        <f>SUM($B$40:B49)</f>
        <v>80000</v>
      </c>
      <c r="D49" s="54">
        <f t="shared" si="17"/>
        <v>1600</v>
      </c>
      <c r="E49" s="54">
        <f>IF($C49&gt;wsk!$F$44,IF($C48&lt;wsk!$F$44,($C49-wsk!$F$44)*wsk!$F$8,0),$B49*wsk!$F$8)</f>
        <v>628.5440000000001</v>
      </c>
      <c r="F49" s="54">
        <f>IF($C49&gt;wsk!$F$44,IF($C48&lt;wsk!$F$44,($C49-wsk!$F$44)*wsk!$F$9,0),$B49*wsk!$F$9)</f>
        <v>418.6</v>
      </c>
      <c r="G49" s="54">
        <f>ROUND(B49*wsk!$F$10,2)</f>
        <v>196</v>
      </c>
      <c r="H49" s="54">
        <f t="shared" si="12"/>
        <v>1243.1440000000002</v>
      </c>
      <c r="I49" s="53">
        <f>ROUND(SUM($B$40:B49)-SUM($D$40:D49)-SUM($H$40:H49),)</f>
        <v>49286</v>
      </c>
      <c r="J49" s="53">
        <f t="shared" si="13"/>
        <v>5157</v>
      </c>
      <c r="K49" s="54">
        <f>ROUND((B49-H49)*wsk!$F$11,2)</f>
        <v>523.66</v>
      </c>
      <c r="L49" s="54">
        <f>ROUND((B49-H49)*wsk!$F$12,2)</f>
        <v>67.57</v>
      </c>
      <c r="M49" s="54">
        <f t="shared" si="14"/>
        <v>591.23</v>
      </c>
      <c r="N49" s="54">
        <v>0</v>
      </c>
      <c r="O49" s="54">
        <f>ROUND(IF(I49&gt;skala!$D$3,IF(I49&gt;skala!$D$8,IF(I48&lt;skala!$D$8,(skala!$D$8-I48)*0.3+(I49-skala!$D$8)*0.4,J49*0.4),IF(I48&lt;skala!$D$3,(skala!$D$3-I48)*0.19+(I49-skala!$D$3)*0.3,J49*0.3)),J49*0.19)-K49-N49,2)</f>
        <v>1023.44</v>
      </c>
      <c r="P49" s="53">
        <f t="shared" si="10"/>
        <v>5142.186</v>
      </c>
      <c r="Q49" s="54">
        <f>IF($C49&gt;wsk!$F$44,IF($C48&lt;wsk!$F$44,($C49-wsk!$F$44)*wsk!$F$16,0),$B49*wsk!$F$16)</f>
        <v>628.5440000000001</v>
      </c>
      <c r="R49" s="54">
        <f>IF($C49&gt;wsk!$F$44,IF($C48&lt;wsk!$F$44,($C49-wsk!$F$44)*wsk!$F$17,0),$B49*wsk!$F$17)</f>
        <v>418.6</v>
      </c>
      <c r="S49" s="54">
        <f>ROUND(B49*wsk!$F$18,2)</f>
        <v>154.4</v>
      </c>
      <c r="T49" s="54">
        <f>ROUND(B49*wsk!$F$19,2)</f>
        <v>12</v>
      </c>
      <c r="U49" s="54">
        <f>ROUND(B49*wsk!$F$20,2)</f>
        <v>196</v>
      </c>
      <c r="V49" s="53">
        <f t="shared" si="15"/>
        <v>1409.5440000000003</v>
      </c>
      <c r="W49" s="53">
        <f t="shared" si="11"/>
        <v>9409.544</v>
      </c>
    </row>
    <row r="50" spans="1:23" ht="12.75">
      <c r="A50" s="47" t="s">
        <v>83</v>
      </c>
      <c r="B50" s="48">
        <f t="shared" si="16"/>
        <v>8000</v>
      </c>
      <c r="C50" s="48">
        <f>SUM($B$40:B50)</f>
        <v>88000</v>
      </c>
      <c r="D50" s="49">
        <f t="shared" si="17"/>
        <v>1600</v>
      </c>
      <c r="E50" s="49">
        <f>IF($C50&gt;wsk!$F$44,IF($C49&lt;wsk!$F$44,($C50-wsk!$F$44)*wsk!$F$8,0),$B50*wsk!$F$8)</f>
        <v>0</v>
      </c>
      <c r="F50" s="49">
        <f>IF($C50&gt;wsk!$F$44,IF($C49&lt;wsk!$F$44,($C50-wsk!$F$44)*wsk!$F$9,0),$B50*wsk!$F$9)</f>
        <v>0</v>
      </c>
      <c r="G50" s="49">
        <f>ROUND(B50*wsk!$F$10,2)</f>
        <v>196</v>
      </c>
      <c r="H50" s="49">
        <f t="shared" si="12"/>
        <v>196</v>
      </c>
      <c r="I50" s="48">
        <f>ROUND(SUM($B$40:B50)-SUM($D$40:D50)-SUM($H$40:H50),)</f>
        <v>55490</v>
      </c>
      <c r="J50" s="48">
        <f t="shared" si="13"/>
        <v>6204</v>
      </c>
      <c r="K50" s="49">
        <f>ROUND((B50-H50)*wsk!$F$11,2)</f>
        <v>604.81</v>
      </c>
      <c r="L50" s="49">
        <f>ROUND((B50-H50)*wsk!$F$12,2)</f>
        <v>78.04</v>
      </c>
      <c r="M50" s="49">
        <f t="shared" si="14"/>
        <v>682.8499999999999</v>
      </c>
      <c r="N50" s="49">
        <v>0</v>
      </c>
      <c r="O50" s="49">
        <f>ROUND(IF(I50&gt;skala!$D$3,IF(I50&gt;skala!$D$8,IF(I49&lt;skala!$D$8,(skala!$D$8-I49)*0.3+(I50-skala!$D$8)*0.4,J50*0.4),IF(I49&lt;skala!$D$3,(skala!$D$3-I49)*0.19+(I50-skala!$D$3)*0.3,J50*0.3)),J50*0.19)-K50-N50,2)</f>
        <v>1256.39</v>
      </c>
      <c r="P50" s="48">
        <f t="shared" si="10"/>
        <v>5864.759999999999</v>
      </c>
      <c r="Q50" s="49">
        <f>IF($C50&gt;wsk!$F$44,IF($C49&lt;wsk!$F$44,($C50-wsk!$F$44)*wsk!$F$16,0),$B50*wsk!$F$16)</f>
        <v>0</v>
      </c>
      <c r="R50" s="49">
        <f>IF($C50&gt;wsk!$F$44,IF($C49&lt;wsk!$F$44,($C50-wsk!$F$44)*wsk!$F$17,0),$B50*wsk!$F$17)</f>
        <v>0</v>
      </c>
      <c r="S50" s="49">
        <f>ROUND(B50*wsk!$F$18,2)</f>
        <v>154.4</v>
      </c>
      <c r="T50" s="49">
        <f>ROUND(B50*wsk!$F$19,2)</f>
        <v>12</v>
      </c>
      <c r="U50" s="49">
        <f>ROUND(B50*wsk!$F$20,2)</f>
        <v>196</v>
      </c>
      <c r="V50" s="48">
        <f t="shared" si="15"/>
        <v>362.4</v>
      </c>
      <c r="W50" s="48">
        <f t="shared" si="11"/>
        <v>8362.4</v>
      </c>
    </row>
    <row r="51" spans="1:23" ht="13.5" thickBot="1">
      <c r="A51" s="55" t="s">
        <v>84</v>
      </c>
      <c r="B51" s="56">
        <f t="shared" si="16"/>
        <v>8000</v>
      </c>
      <c r="C51" s="56">
        <f>SUM($B$40:B51)</f>
        <v>96000</v>
      </c>
      <c r="D51" s="57">
        <f t="shared" si="17"/>
        <v>1600</v>
      </c>
      <c r="E51" s="57">
        <f>IF($C51&gt;wsk!$F$44,IF($C50&lt;wsk!$F$44,($C51-wsk!$F$44)*wsk!$F$8,0),$B51*wsk!$F$8)</f>
        <v>0</v>
      </c>
      <c r="F51" s="57">
        <f>IF($C51&gt;wsk!$F$44,IF($C50&lt;wsk!$F$44,($C51-wsk!$F$44)*wsk!$F$9,0),$B51*wsk!$F$9)</f>
        <v>0</v>
      </c>
      <c r="G51" s="57">
        <f>ROUND(B51*wsk!$F$10,2)</f>
        <v>196</v>
      </c>
      <c r="H51" s="57">
        <f t="shared" si="12"/>
        <v>196</v>
      </c>
      <c r="I51" s="56">
        <f>ROUND(SUM($B$40:B51)-SUM($D$40:D51)-SUM($H$40:H51),)</f>
        <v>61694</v>
      </c>
      <c r="J51" s="56">
        <f t="shared" si="13"/>
        <v>6204</v>
      </c>
      <c r="K51" s="57">
        <f>ROUND((B51-H51)*wsk!$F$11,2)</f>
        <v>604.81</v>
      </c>
      <c r="L51" s="57">
        <f>ROUND((B51-H51)*wsk!$F$12,2)</f>
        <v>78.04</v>
      </c>
      <c r="M51" s="57">
        <f t="shared" si="14"/>
        <v>682.8499999999999</v>
      </c>
      <c r="N51" s="57">
        <v>0</v>
      </c>
      <c r="O51" s="57">
        <f>ROUND(IF(I51&gt;skala!$D$3,IF(I51&gt;skala!$D$8,IF(I50&lt;skala!$D$8,(skala!$D$8-I50)*0.3+(I51-skala!$D$8)*0.4,J51*0.4),IF(I50&lt;skala!$D$3,(skala!$D$3-I50)*0.19+(I51-skala!$D$3)*0.3,J51*0.3)),J51*0.19)-K51-N51,2)</f>
        <v>1256.39</v>
      </c>
      <c r="P51" s="56">
        <f t="shared" si="10"/>
        <v>5864.759999999999</v>
      </c>
      <c r="Q51" s="57">
        <f>IF($C51&gt;wsk!$F$44,IF($C50&lt;wsk!$F$44,($C51-wsk!$F$44)*wsk!$F$16,0),$B51*wsk!$F$16)</f>
        <v>0</v>
      </c>
      <c r="R51" s="57">
        <f>IF($C51&gt;wsk!$F$44,IF($C50&lt;wsk!$F$44,($C51-wsk!$F$44)*wsk!$F$17,0),$B51*wsk!$F$17)</f>
        <v>0</v>
      </c>
      <c r="S51" s="57">
        <f>ROUND(B51*wsk!$F$18,2)</f>
        <v>154.4</v>
      </c>
      <c r="T51" s="57">
        <f>ROUND(B51*wsk!$F$19,2)</f>
        <v>12</v>
      </c>
      <c r="U51" s="57">
        <f>ROUND(B51*wsk!$F$20,2)</f>
        <v>196</v>
      </c>
      <c r="V51" s="56">
        <f t="shared" si="15"/>
        <v>362.4</v>
      </c>
      <c r="W51" s="56">
        <f t="shared" si="11"/>
        <v>8362.4</v>
      </c>
    </row>
    <row r="52" spans="1:23" ht="13.5" thickBot="1">
      <c r="A52" s="60" t="s">
        <v>85</v>
      </c>
      <c r="B52" s="58">
        <f>SUM(B40:B51)</f>
        <v>96000</v>
      </c>
      <c r="C52" s="58">
        <f>C51</f>
        <v>96000</v>
      </c>
      <c r="D52" s="58">
        <f>SUM(D40:D51)</f>
        <v>19200</v>
      </c>
      <c r="E52" s="58">
        <f>SUM(E40:E51)</f>
        <v>7655.744000000001</v>
      </c>
      <c r="F52" s="58">
        <f>SUM(F40:F51)</f>
        <v>5098.6</v>
      </c>
      <c r="G52" s="58">
        <f>SUM(G40:G51)</f>
        <v>2352</v>
      </c>
      <c r="H52" s="58">
        <f>SUM(H40:H51)</f>
        <v>15106.344000000001</v>
      </c>
      <c r="I52" s="58">
        <f>I51</f>
        <v>61694</v>
      </c>
      <c r="J52" s="58">
        <f aca="true" t="shared" si="18" ref="J52:W52">SUM(J40:J51)</f>
        <v>61692</v>
      </c>
      <c r="K52" s="58">
        <f t="shared" si="18"/>
        <v>6269.279999999999</v>
      </c>
      <c r="L52" s="58">
        <f t="shared" si="18"/>
        <v>808.9199999999998</v>
      </c>
      <c r="M52" s="58">
        <f t="shared" si="18"/>
        <v>7078.199999999999</v>
      </c>
      <c r="N52" s="58">
        <f t="shared" si="18"/>
        <v>0</v>
      </c>
      <c r="O52" s="58">
        <f t="shared" si="18"/>
        <v>8166.09</v>
      </c>
      <c r="P52" s="58">
        <f t="shared" si="18"/>
        <v>65649.36600000001</v>
      </c>
      <c r="Q52" s="58">
        <f t="shared" si="18"/>
        <v>7655.744000000001</v>
      </c>
      <c r="R52" s="58">
        <f t="shared" si="18"/>
        <v>5098.6</v>
      </c>
      <c r="S52" s="58">
        <f t="shared" si="18"/>
        <v>1852.8000000000004</v>
      </c>
      <c r="T52" s="58">
        <f t="shared" si="18"/>
        <v>144</v>
      </c>
      <c r="U52" s="58">
        <f t="shared" si="18"/>
        <v>2352</v>
      </c>
      <c r="V52" s="58">
        <f t="shared" si="18"/>
        <v>17103.144000000008</v>
      </c>
      <c r="W52" s="58">
        <f t="shared" si="18"/>
        <v>113103.14399999997</v>
      </c>
    </row>
    <row r="53" spans="17:18" ht="12.75">
      <c r="Q53" s="59" t="b">
        <f>E52=Q52</f>
        <v>1</v>
      </c>
      <c r="R53" s="59" t="b">
        <f>F52=R52</f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65"/>
  <sheetViews>
    <sheetView zoomScale="75" zoomScaleNormal="75" workbookViewId="0" topLeftCell="A54">
      <selection activeCell="O17" sqref="O17"/>
    </sheetView>
  </sheetViews>
  <sheetFormatPr defaultColWidth="9.140625" defaultRowHeight="12.75" outlineLevelRow="1" outlineLevelCol="1"/>
  <cols>
    <col min="1" max="1" width="10.8515625" style="1" bestFit="1" customWidth="1"/>
    <col min="2" max="2" width="18.57421875" style="1" bestFit="1" customWidth="1"/>
    <col min="3" max="3" width="14.8515625" style="1" hidden="1" customWidth="1" outlineLevel="1"/>
    <col min="4" max="4" width="16.00390625" style="1" bestFit="1" customWidth="1" collapsed="1"/>
    <col min="5" max="7" width="12.7109375" style="1" hidden="1" customWidth="1" outlineLevel="1"/>
    <col min="8" max="8" width="13.8515625" style="1" bestFit="1" customWidth="1" collapsed="1"/>
    <col min="9" max="9" width="14.57421875" style="1" customWidth="1" outlineLevel="1"/>
    <col min="10" max="10" width="15.421875" style="1" bestFit="1" customWidth="1"/>
    <col min="11" max="12" width="12.7109375" style="1" customWidth="1" outlineLevel="1"/>
    <col min="13" max="14" width="12.7109375" style="1" customWidth="1"/>
    <col min="15" max="15" width="13.8515625" style="1" bestFit="1" customWidth="1"/>
    <col min="16" max="16" width="14.8515625" style="1" bestFit="1" customWidth="1"/>
    <col min="17" max="19" width="12.7109375" style="1" hidden="1" customWidth="1" outlineLevel="1"/>
    <col min="20" max="20" width="15.28125" style="1" hidden="1" customWidth="1" outlineLevel="1"/>
    <col min="21" max="21" width="12.7109375" style="1" hidden="1" customWidth="1" outlineLevel="1"/>
    <col min="22" max="22" width="13.8515625" style="1" bestFit="1" customWidth="1" collapsed="1"/>
    <col min="23" max="23" width="17.8515625" style="1" bestFit="1" customWidth="1"/>
    <col min="24" max="16384" width="9.140625" style="1" customWidth="1"/>
  </cols>
  <sheetData>
    <row r="2" ht="12.75">
      <c r="B2" s="41" t="s">
        <v>59</v>
      </c>
    </row>
    <row r="4" spans="1:23" ht="63.75">
      <c r="A4" s="45"/>
      <c r="B4" s="46" t="s">
        <v>64</v>
      </c>
      <c r="C4" s="46" t="s">
        <v>89</v>
      </c>
      <c r="D4" s="46" t="s">
        <v>65</v>
      </c>
      <c r="E4" s="46" t="s">
        <v>15</v>
      </c>
      <c r="F4" s="46" t="s">
        <v>16</v>
      </c>
      <c r="G4" s="46" t="s">
        <v>17</v>
      </c>
      <c r="H4" s="46" t="s">
        <v>66</v>
      </c>
      <c r="I4" s="46" t="s">
        <v>88</v>
      </c>
      <c r="J4" s="46" t="s">
        <v>67</v>
      </c>
      <c r="K4" s="46" t="s">
        <v>111</v>
      </c>
      <c r="L4" s="46" t="s">
        <v>112</v>
      </c>
      <c r="M4" s="46" t="s">
        <v>69</v>
      </c>
      <c r="N4" s="46" t="s">
        <v>23</v>
      </c>
      <c r="O4" s="46" t="s">
        <v>68</v>
      </c>
      <c r="P4" s="46" t="s">
        <v>70</v>
      </c>
      <c r="Q4" s="46" t="s">
        <v>15</v>
      </c>
      <c r="R4" s="46" t="s">
        <v>16</v>
      </c>
      <c r="S4" s="46" t="s">
        <v>54</v>
      </c>
      <c r="T4" s="46" t="s">
        <v>86</v>
      </c>
      <c r="U4" s="46" t="s">
        <v>87</v>
      </c>
      <c r="V4" s="46" t="s">
        <v>71</v>
      </c>
      <c r="W4" s="46" t="s">
        <v>72</v>
      </c>
    </row>
    <row r="5" spans="1:25" ht="12.75">
      <c r="A5" s="47" t="s">
        <v>73</v>
      </c>
      <c r="B5" s="87">
        <f>tabela!D7</f>
        <v>2000</v>
      </c>
      <c r="C5" s="48">
        <f>SUM($B$5:B5)</f>
        <v>2000</v>
      </c>
      <c r="D5" s="49">
        <f>y!$R$9</f>
        <v>102.25</v>
      </c>
      <c r="E5" s="88">
        <f>IF($C5&gt;wsk!$F$44,IF($C4&lt;wsk!$F$44,($C5-wsk!$F$44)*wsk!$F$8,0),$B5*wsk!$F$8)</f>
        <v>195.20000000000002</v>
      </c>
      <c r="F5" s="88">
        <f>IF($C5&gt;wsk!$F$44,IF($C4&lt;wsk!$F$44,($C5-wsk!$F$44)*wsk!$F$9,0),$B5*wsk!$F$9)</f>
        <v>130</v>
      </c>
      <c r="G5" s="88">
        <f>ROUND(B5*wsk!$F$10,2)</f>
        <v>49</v>
      </c>
      <c r="H5" s="49">
        <f aca="true" t="shared" si="0" ref="H5:H16">SUM(E5:G5)</f>
        <v>374.20000000000005</v>
      </c>
      <c r="I5" s="48">
        <f>ROUND(SUM($B$5:B5)-SUM($D$5:D5)-SUM($H$5:H5),)</f>
        <v>1524</v>
      </c>
      <c r="J5" s="48">
        <f aca="true" t="shared" si="1" ref="J5:J16">ROUND(SUM(B5,-D5,-H5),0)</f>
        <v>1524</v>
      </c>
      <c r="K5" s="88">
        <f>ROUND((B5-H5)*wsk!$F$11,2)</f>
        <v>126</v>
      </c>
      <c r="L5" s="88">
        <f>ROUND((B5-H5)*wsk!$F$12,2)</f>
        <v>16.26</v>
      </c>
      <c r="M5" s="49">
        <f aca="true" t="shared" si="2" ref="M5:M16">SUM(K5:L5)</f>
        <v>142.26</v>
      </c>
      <c r="N5" s="88">
        <f>y!T9</f>
        <v>44.17</v>
      </c>
      <c r="O5" s="49">
        <f>ROUND(IF(I5&gt;skala!$F$3,IF(I5&gt;skala!$F$8,IF(I4&lt;skala!$F$8,(skala!$F$8-I4)*0.3+(I5-skala!$F$8)*0.4,J5*0.4),IF(I4&lt;skala!$F$3,(skala!$F$3-I4)*0.19+(I5-skala!$F$3)*0.3,J5*0.3)),J5*0.19)-K5-N5,2)</f>
        <v>119.39</v>
      </c>
      <c r="P5" s="48">
        <f aca="true" t="shared" si="3" ref="P5:P16">SUM(B5,-H5,-M5,-O5)</f>
        <v>1364.1499999999999</v>
      </c>
      <c r="Q5" s="88">
        <f>IF($C5&gt;wsk!$F$44,IF($C4&lt;wsk!$F$44,($C5-wsk!$F$44)*wsk!$F$16,0),$B5*wsk!$F$16)</f>
        <v>195.20000000000002</v>
      </c>
      <c r="R5" s="88">
        <f>IF($C5&gt;wsk!$F$44,IF($C4&lt;wsk!$F$44,($C5-wsk!$F$44)*wsk!$F$17,0),$B5*wsk!$F$17)</f>
        <v>130</v>
      </c>
      <c r="S5" s="88">
        <f>ROUND(B5*wsk!$F$18,2)</f>
        <v>38.6</v>
      </c>
      <c r="T5" s="88">
        <f>ROUND(B5*wsk!$F$19,2)</f>
        <v>3</v>
      </c>
      <c r="U5" s="88">
        <f>ROUND(B5*wsk!$F$20,2)</f>
        <v>49</v>
      </c>
      <c r="V5" s="48">
        <f aca="true" t="shared" si="4" ref="V5:V16">SUM(Q5:U5)</f>
        <v>415.80000000000007</v>
      </c>
      <c r="W5" s="48">
        <f aca="true" t="shared" si="5" ref="W5:W16">SUM(B5,V5)</f>
        <v>2415.8</v>
      </c>
      <c r="X5" s="50" t="b">
        <f>y!V9=P5</f>
        <v>0</v>
      </c>
      <c r="Y5" s="51" t="b">
        <f>y!AD9=W5</f>
        <v>0</v>
      </c>
    </row>
    <row r="6" spans="1:23" ht="12.75">
      <c r="A6" s="52" t="s">
        <v>74</v>
      </c>
      <c r="B6" s="53">
        <f aca="true" t="shared" si="6" ref="B6:B16">B5</f>
        <v>2000</v>
      </c>
      <c r="C6" s="53">
        <f>SUM($B$5:B6)</f>
        <v>4000</v>
      </c>
      <c r="D6" s="54">
        <f aca="true" t="shared" si="7" ref="D6:D16">D5</f>
        <v>102.25</v>
      </c>
      <c r="E6" s="54">
        <f>IF($C6&gt;wsk!$F$44,IF($C5&lt;wsk!$F$44,($C6-wsk!$F$44)*wsk!$F$8,0),$B6*wsk!$F$8)</f>
        <v>195.20000000000002</v>
      </c>
      <c r="F6" s="54">
        <f>IF($C6&gt;wsk!$F$44,IF($C5&lt;wsk!$F$44,($C6-wsk!$F$44)*wsk!$F$9,0),$B6*wsk!$F$9)</f>
        <v>130</v>
      </c>
      <c r="G6" s="54">
        <f>ROUND(B6*wsk!$F$10,2)</f>
        <v>49</v>
      </c>
      <c r="H6" s="54">
        <f t="shared" si="0"/>
        <v>374.20000000000005</v>
      </c>
      <c r="I6" s="53">
        <f>ROUND(SUM($B$5:B6)-SUM($D$5:D6)-SUM($H$5:H6),)</f>
        <v>3047</v>
      </c>
      <c r="J6" s="53">
        <f t="shared" si="1"/>
        <v>1524</v>
      </c>
      <c r="K6" s="54">
        <f>ROUND((B6-H6)*wsk!$F$11,2)</f>
        <v>126</v>
      </c>
      <c r="L6" s="54">
        <f>ROUND((B6-H6)*wsk!$F$12,2)</f>
        <v>16.26</v>
      </c>
      <c r="M6" s="54">
        <f t="shared" si="2"/>
        <v>142.26</v>
      </c>
      <c r="N6" s="54">
        <f aca="true" t="shared" si="8" ref="N6:N16">N5</f>
        <v>44.17</v>
      </c>
      <c r="O6" s="54">
        <f>ROUND(IF(I6&gt;skala!$D$3,IF(I6&gt;skala!$D$8,IF(I5&lt;skala!$D$8,(skala!$D$8-I5)*0.3+(I6-skala!$D$8)*0.4,J6*0.4),IF(I5&lt;skala!$D$3,(skala!$D$3-I5)*0.19+(I6-skala!$D$3)*0.3,J6*0.3)),J6*0.19)-K6-N6,2)</f>
        <v>119.39</v>
      </c>
      <c r="P6" s="53">
        <f t="shared" si="3"/>
        <v>1364.1499999999999</v>
      </c>
      <c r="Q6" s="54">
        <f>IF($C6&gt;wsk!$D$44,IF($C5&lt;wsk!$D$44,($C6-wsk!$D$44)*0.0976,0),$B6*0.0976)</f>
        <v>195.20000000000002</v>
      </c>
      <c r="R6" s="54">
        <f>IF($C6&gt;wsk!$F$44,IF($C5&lt;wsk!$F$44,($C6-wsk!$F$44)*wsk!$F$17,0),$B6*wsk!$F$17)</f>
        <v>130</v>
      </c>
      <c r="S6" s="54">
        <f>ROUND(B6*wsk!$F$18,2)</f>
        <v>38.6</v>
      </c>
      <c r="T6" s="54">
        <f>ROUND(B6*wsk!$F$19,2)</f>
        <v>3</v>
      </c>
      <c r="U6" s="54">
        <f>ROUND(B6*wsk!$F$20,2)</f>
        <v>49</v>
      </c>
      <c r="V6" s="53">
        <f t="shared" si="4"/>
        <v>415.80000000000007</v>
      </c>
      <c r="W6" s="53">
        <f t="shared" si="5"/>
        <v>2415.8</v>
      </c>
    </row>
    <row r="7" spans="1:23" ht="12.75">
      <c r="A7" s="47" t="s">
        <v>75</v>
      </c>
      <c r="B7" s="48">
        <f t="shared" si="6"/>
        <v>2000</v>
      </c>
      <c r="C7" s="48">
        <f>SUM($B$5:B7)</f>
        <v>6000</v>
      </c>
      <c r="D7" s="49">
        <f t="shared" si="7"/>
        <v>102.25</v>
      </c>
      <c r="E7" s="49">
        <f>IF($C7&gt;wsk!$F$44,IF($C6&lt;wsk!$F$44,($C7-wsk!$F$44)*wsk!$F$8,0),$B7*wsk!$F$8)</f>
        <v>195.20000000000002</v>
      </c>
      <c r="F7" s="49">
        <f>IF($C7&gt;wsk!$F$44,IF($C6&lt;wsk!$F$44,($C7-wsk!$F$44)*wsk!$F$9,0),$B7*wsk!$F$9)</f>
        <v>130</v>
      </c>
      <c r="G7" s="49">
        <f>ROUND(B7*wsk!$F$10,2)</f>
        <v>49</v>
      </c>
      <c r="H7" s="49">
        <f t="shared" si="0"/>
        <v>374.20000000000005</v>
      </c>
      <c r="I7" s="48">
        <f>ROUND(SUM($B$5:B7)-SUM($D$5:D7)-SUM($H$5:H7),)</f>
        <v>4571</v>
      </c>
      <c r="J7" s="48">
        <f t="shared" si="1"/>
        <v>1524</v>
      </c>
      <c r="K7" s="49">
        <f>ROUND((B7-H7)*wsk!$F$11,2)</f>
        <v>126</v>
      </c>
      <c r="L7" s="49">
        <f>ROUND((B7-H7)*wsk!$F$12,2)</f>
        <v>16.26</v>
      </c>
      <c r="M7" s="49">
        <f t="shared" si="2"/>
        <v>142.26</v>
      </c>
      <c r="N7" s="49">
        <f t="shared" si="8"/>
        <v>44.17</v>
      </c>
      <c r="O7" s="49">
        <f>ROUND(IF(I7&gt;skala!$D$3,IF(I7&gt;skala!$D$8,IF(I6&lt;skala!$D$8,(skala!$D$8-I6)*0.3+(I7-skala!$D$8)*0.4,J7*0.4),IF(I6&lt;skala!$D$3,(skala!$D$3-I6)*0.19+(I7-skala!$D$3)*0.3,J7*0.3)),J7*0.19)-K7-N7,2)</f>
        <v>119.39</v>
      </c>
      <c r="P7" s="48">
        <f t="shared" si="3"/>
        <v>1364.1499999999999</v>
      </c>
      <c r="Q7" s="49">
        <f>IF($C7&gt;wsk!$D$44,IF($C6&lt;wsk!$D$44,($C7-wsk!$D$44)*0.0976,0),$B7*0.0976)</f>
        <v>195.20000000000002</v>
      </c>
      <c r="R7" s="49">
        <f>IF($C7&gt;wsk!$F$44,IF($C6&lt;wsk!$F$44,($C7-wsk!$F$44)*wsk!$F$17,0),$B7*wsk!$F$17)</f>
        <v>130</v>
      </c>
      <c r="S7" s="49">
        <f>ROUND(B7*wsk!$F$18,2)</f>
        <v>38.6</v>
      </c>
      <c r="T7" s="49">
        <f>ROUND(B7*wsk!$F$19,2)</f>
        <v>3</v>
      </c>
      <c r="U7" s="49">
        <f>ROUND(B7*wsk!$F$20,2)</f>
        <v>49</v>
      </c>
      <c r="V7" s="48">
        <f t="shared" si="4"/>
        <v>415.80000000000007</v>
      </c>
      <c r="W7" s="48">
        <f t="shared" si="5"/>
        <v>2415.8</v>
      </c>
    </row>
    <row r="8" spans="1:23" ht="12.75">
      <c r="A8" s="52" t="s">
        <v>76</v>
      </c>
      <c r="B8" s="53">
        <f t="shared" si="6"/>
        <v>2000</v>
      </c>
      <c r="C8" s="53">
        <f>SUM($B$5:B8)</f>
        <v>8000</v>
      </c>
      <c r="D8" s="54">
        <f t="shared" si="7"/>
        <v>102.25</v>
      </c>
      <c r="E8" s="54">
        <f>IF($C8&gt;wsk!$F$44,IF($C7&lt;wsk!$F$44,($C8-wsk!$F$44)*wsk!$F$8,0),$B8*wsk!$F$8)</f>
        <v>195.20000000000002</v>
      </c>
      <c r="F8" s="54">
        <f>IF($C8&gt;wsk!$F$44,IF($C7&lt;wsk!$F$44,($C8-wsk!$F$44)*wsk!$F$9,0),$B8*wsk!$F$9)</f>
        <v>130</v>
      </c>
      <c r="G8" s="54">
        <f>ROUND(B8*wsk!$F$10,2)</f>
        <v>49</v>
      </c>
      <c r="H8" s="54">
        <f t="shared" si="0"/>
        <v>374.20000000000005</v>
      </c>
      <c r="I8" s="53">
        <f>ROUND(SUM($B$5:B8)-SUM($D$5:D8)-SUM($H$5:H8),)</f>
        <v>6094</v>
      </c>
      <c r="J8" s="53">
        <f t="shared" si="1"/>
        <v>1524</v>
      </c>
      <c r="K8" s="54">
        <f>ROUND((B8-H8)*wsk!$F$11,2)</f>
        <v>126</v>
      </c>
      <c r="L8" s="54">
        <f>ROUND((B8-H8)*wsk!$F$12,2)</f>
        <v>16.26</v>
      </c>
      <c r="M8" s="54">
        <f t="shared" si="2"/>
        <v>142.26</v>
      </c>
      <c r="N8" s="54">
        <f t="shared" si="8"/>
        <v>44.17</v>
      </c>
      <c r="O8" s="54">
        <f>ROUND(IF(I8&gt;skala!$D$3,IF(I8&gt;skala!$D$8,IF(I7&lt;skala!$D$8,(skala!$D$8-I7)*0.3+(I8-skala!$D$8)*0.4,J8*0.4),IF(I7&lt;skala!$D$3,(skala!$D$3-I7)*0.19+(I8-skala!$D$3)*0.3,J8*0.3)),J8*0.19)-K8-N8,2)</f>
        <v>119.39</v>
      </c>
      <c r="P8" s="53">
        <f t="shared" si="3"/>
        <v>1364.1499999999999</v>
      </c>
      <c r="Q8" s="54">
        <f>IF($C8&gt;wsk!$D$44,IF($C7&lt;wsk!$D$44,($C8-wsk!$D$44)*0.0976,0),$B8*0.0976)</f>
        <v>195.20000000000002</v>
      </c>
      <c r="R8" s="54">
        <f>IF($C8&gt;wsk!$F$44,IF($C7&lt;wsk!$F$44,($C8-wsk!$F$44)*wsk!$F$17,0),$B8*wsk!$F$17)</f>
        <v>130</v>
      </c>
      <c r="S8" s="54">
        <f>ROUND(B8*wsk!$F$18,2)</f>
        <v>38.6</v>
      </c>
      <c r="T8" s="54">
        <f>ROUND(B8*wsk!$F$19,2)</f>
        <v>3</v>
      </c>
      <c r="U8" s="54">
        <f>ROUND(B8*wsk!$F$20,2)</f>
        <v>49</v>
      </c>
      <c r="V8" s="53">
        <f t="shared" si="4"/>
        <v>415.80000000000007</v>
      </c>
      <c r="W8" s="53">
        <f t="shared" si="5"/>
        <v>2415.8</v>
      </c>
    </row>
    <row r="9" spans="1:23" ht="12.75">
      <c r="A9" s="47" t="s">
        <v>77</v>
      </c>
      <c r="B9" s="48">
        <f t="shared" si="6"/>
        <v>2000</v>
      </c>
      <c r="C9" s="48">
        <f>SUM($B$5:B9)</f>
        <v>10000</v>
      </c>
      <c r="D9" s="49">
        <f t="shared" si="7"/>
        <v>102.25</v>
      </c>
      <c r="E9" s="49">
        <f>IF($C9&gt;wsk!$F$44,IF($C8&lt;wsk!$F$44,($C9-wsk!$F$44)*wsk!$F$8,0),$B9*wsk!$F$8)</f>
        <v>195.20000000000002</v>
      </c>
      <c r="F9" s="49">
        <f>IF($C9&gt;wsk!$F$44,IF($C8&lt;wsk!$F$44,($C9-wsk!$F$44)*wsk!$F$9,0),$B9*wsk!$F$9)</f>
        <v>130</v>
      </c>
      <c r="G9" s="49">
        <f>ROUND(B9*wsk!$F$10,2)</f>
        <v>49</v>
      </c>
      <c r="H9" s="49">
        <f t="shared" si="0"/>
        <v>374.20000000000005</v>
      </c>
      <c r="I9" s="48">
        <f>ROUND(SUM($B$5:B9)-SUM($D$5:D9)-SUM($H$5:H9),)</f>
        <v>7618</v>
      </c>
      <c r="J9" s="48">
        <f t="shared" si="1"/>
        <v>1524</v>
      </c>
      <c r="K9" s="49">
        <f>ROUND((B9-H9)*wsk!$F$11,2)</f>
        <v>126</v>
      </c>
      <c r="L9" s="49">
        <f>ROUND((B9-H9)*wsk!$F$12,2)</f>
        <v>16.26</v>
      </c>
      <c r="M9" s="49">
        <f t="shared" si="2"/>
        <v>142.26</v>
      </c>
      <c r="N9" s="49">
        <f t="shared" si="8"/>
        <v>44.17</v>
      </c>
      <c r="O9" s="49">
        <f>ROUND(IF(I9&gt;skala!$D$3,IF(I9&gt;skala!$D$8,IF(I8&lt;skala!$D$8,(skala!$D$8-I8)*0.3+(I9-skala!$D$8)*0.4,J9*0.4),IF(I8&lt;skala!$D$3,(skala!$D$3-I8)*0.19+(I9-skala!$D$3)*0.3,J9*0.3)),J9*0.19)-K9-N9,2)</f>
        <v>119.39</v>
      </c>
      <c r="P9" s="48">
        <f t="shared" si="3"/>
        <v>1364.1499999999999</v>
      </c>
      <c r="Q9" s="49">
        <f>IF($C9&gt;wsk!$D$44,IF($C8&lt;wsk!$D$44,($C9-wsk!$D$44)*0.0976,0),$B9*0.0976)</f>
        <v>195.20000000000002</v>
      </c>
      <c r="R9" s="49">
        <f>IF($C9&gt;wsk!$F$44,IF($C8&lt;wsk!$F$44,($C9-wsk!$F$44)*wsk!$F$17,0),$B9*wsk!$F$17)</f>
        <v>130</v>
      </c>
      <c r="S9" s="49">
        <f>ROUND(B9*wsk!$F$18,2)</f>
        <v>38.6</v>
      </c>
      <c r="T9" s="49">
        <f>ROUND(B9*wsk!$F$19,2)</f>
        <v>3</v>
      </c>
      <c r="U9" s="49">
        <f>ROUND(B9*wsk!$F$20,2)</f>
        <v>49</v>
      </c>
      <c r="V9" s="48">
        <f t="shared" si="4"/>
        <v>415.80000000000007</v>
      </c>
      <c r="W9" s="48">
        <f t="shared" si="5"/>
        <v>2415.8</v>
      </c>
    </row>
    <row r="10" spans="1:23" ht="12.75">
      <c r="A10" s="52" t="s">
        <v>78</v>
      </c>
      <c r="B10" s="53">
        <f t="shared" si="6"/>
        <v>2000</v>
      </c>
      <c r="C10" s="53">
        <f>SUM($B$5:B10)</f>
        <v>12000</v>
      </c>
      <c r="D10" s="54">
        <f t="shared" si="7"/>
        <v>102.25</v>
      </c>
      <c r="E10" s="54">
        <f>IF($C10&gt;wsk!$F$44,IF($C9&lt;wsk!$F$44,($C10-wsk!$F$44)*wsk!$F$8,0),$B10*wsk!$F$8)</f>
        <v>195.20000000000002</v>
      </c>
      <c r="F10" s="54">
        <f>IF($C10&gt;wsk!$F$44,IF($C9&lt;wsk!$F$44,($C10-wsk!$F$44)*wsk!$F$9,0),$B10*wsk!$F$9)</f>
        <v>130</v>
      </c>
      <c r="G10" s="54">
        <f>ROUND(B10*wsk!$F$10,2)</f>
        <v>49</v>
      </c>
      <c r="H10" s="54">
        <f t="shared" si="0"/>
        <v>374.20000000000005</v>
      </c>
      <c r="I10" s="53">
        <f>ROUND(SUM($B$5:B10)-SUM($D$5:D10)-SUM($H$5:H10),)</f>
        <v>9141</v>
      </c>
      <c r="J10" s="53">
        <f t="shared" si="1"/>
        <v>1524</v>
      </c>
      <c r="K10" s="54">
        <f>ROUND((B10-H10)*wsk!$F$11,2)</f>
        <v>126</v>
      </c>
      <c r="L10" s="54">
        <f>ROUND((B10-H10)*wsk!$F$12,2)</f>
        <v>16.26</v>
      </c>
      <c r="M10" s="54">
        <f t="shared" si="2"/>
        <v>142.26</v>
      </c>
      <c r="N10" s="54">
        <f t="shared" si="8"/>
        <v>44.17</v>
      </c>
      <c r="O10" s="54">
        <f>ROUND(IF(I10&gt;skala!$D$3,IF(I10&gt;skala!$D$8,IF(I9&lt;skala!$D$8,(skala!$D$8-I9)*0.3+(I10-skala!$D$8)*0.4,J10*0.4),IF(I9&lt;skala!$D$3,(skala!$D$3-I9)*0.19+(I10-skala!$D$3)*0.3,J10*0.3)),J10*0.19)-K10-N10,2)</f>
        <v>119.39</v>
      </c>
      <c r="P10" s="53">
        <f t="shared" si="3"/>
        <v>1364.1499999999999</v>
      </c>
      <c r="Q10" s="54">
        <f>IF($C10&gt;wsk!$D$44,IF($C9&lt;wsk!$D$44,($C10-wsk!$D$44)*0.0976,0),$B10*0.0976)</f>
        <v>195.20000000000002</v>
      </c>
      <c r="R10" s="54">
        <f>IF($C10&gt;wsk!$F$44,IF($C9&lt;wsk!$F$44,($C10-wsk!$F$44)*wsk!$F$17,0),$B10*wsk!$F$17)</f>
        <v>130</v>
      </c>
      <c r="S10" s="54">
        <f>ROUND(B10*wsk!$F$18,2)</f>
        <v>38.6</v>
      </c>
      <c r="T10" s="54">
        <f>ROUND(B10*wsk!$F$19,2)</f>
        <v>3</v>
      </c>
      <c r="U10" s="54">
        <f>ROUND(B10*wsk!$F$20,2)</f>
        <v>49</v>
      </c>
      <c r="V10" s="53">
        <f t="shared" si="4"/>
        <v>415.80000000000007</v>
      </c>
      <c r="W10" s="53">
        <f t="shared" si="5"/>
        <v>2415.8</v>
      </c>
    </row>
    <row r="11" spans="1:23" ht="12.75">
      <c r="A11" s="47" t="s">
        <v>79</v>
      </c>
      <c r="B11" s="48">
        <f t="shared" si="6"/>
        <v>2000</v>
      </c>
      <c r="C11" s="48">
        <f>SUM($B$5:B11)</f>
        <v>14000</v>
      </c>
      <c r="D11" s="49">
        <f t="shared" si="7"/>
        <v>102.25</v>
      </c>
      <c r="E11" s="49">
        <f>IF($C11&gt;wsk!$F$44,IF($C10&lt;wsk!$F$44,($C11-wsk!$F$44)*wsk!$F$8,0),$B11*wsk!$F$8)</f>
        <v>195.20000000000002</v>
      </c>
      <c r="F11" s="49">
        <f>IF($C11&gt;wsk!$F$44,IF($C10&lt;wsk!$F$44,($C11-wsk!$F$44)*wsk!$F$9,0),$B11*wsk!$F$9)</f>
        <v>130</v>
      </c>
      <c r="G11" s="49">
        <f>ROUND(B11*wsk!$F$10,2)</f>
        <v>49</v>
      </c>
      <c r="H11" s="49">
        <f t="shared" si="0"/>
        <v>374.20000000000005</v>
      </c>
      <c r="I11" s="48">
        <f>ROUND(SUM($B$5:B11)-SUM($D$5:D11)-SUM($H$5:H11),)</f>
        <v>10665</v>
      </c>
      <c r="J11" s="48">
        <f t="shared" si="1"/>
        <v>1524</v>
      </c>
      <c r="K11" s="49">
        <f>ROUND((B11-H11)*wsk!$F$11,2)</f>
        <v>126</v>
      </c>
      <c r="L11" s="49">
        <f>ROUND((B11-H11)*wsk!$F$12,2)</f>
        <v>16.26</v>
      </c>
      <c r="M11" s="49">
        <f t="shared" si="2"/>
        <v>142.26</v>
      </c>
      <c r="N11" s="49">
        <f t="shared" si="8"/>
        <v>44.17</v>
      </c>
      <c r="O11" s="49">
        <f>ROUND(IF(I11&gt;skala!$D$3,IF(I11&gt;skala!$D$8,IF(I10&lt;skala!$D$8,(skala!$D$8-I10)*0.3+(I11-skala!$D$8)*0.4,J11*0.4),IF(I10&lt;skala!$D$3,(skala!$D$3-I10)*0.19+(I11-skala!$D$3)*0.3,J11*0.3)),J11*0.19)-K11-N11,2)</f>
        <v>119.39</v>
      </c>
      <c r="P11" s="48">
        <f t="shared" si="3"/>
        <v>1364.1499999999999</v>
      </c>
      <c r="Q11" s="49">
        <f>IF($C11&gt;wsk!$D$44,IF($C10&lt;wsk!$D$44,($C11-wsk!$D$44)*0.0976,0),$B11*0.0976)</f>
        <v>195.20000000000002</v>
      </c>
      <c r="R11" s="49">
        <f>IF($C11&gt;wsk!$F$44,IF($C10&lt;wsk!$F$44,($C11-wsk!$F$44)*wsk!$F$17,0),$B11*wsk!$F$17)</f>
        <v>130</v>
      </c>
      <c r="S11" s="49">
        <f>ROUND(B11*wsk!$F$18,2)</f>
        <v>38.6</v>
      </c>
      <c r="T11" s="49">
        <f>ROUND(B11*wsk!$F$19,2)</f>
        <v>3</v>
      </c>
      <c r="U11" s="49">
        <f>ROUND(B11*wsk!$F$20,2)</f>
        <v>49</v>
      </c>
      <c r="V11" s="48">
        <f t="shared" si="4"/>
        <v>415.80000000000007</v>
      </c>
      <c r="W11" s="48">
        <f t="shared" si="5"/>
        <v>2415.8</v>
      </c>
    </row>
    <row r="12" spans="1:23" ht="12.75">
      <c r="A12" s="52" t="s">
        <v>80</v>
      </c>
      <c r="B12" s="53">
        <f t="shared" si="6"/>
        <v>2000</v>
      </c>
      <c r="C12" s="53">
        <f>SUM($B$5:B12)</f>
        <v>16000</v>
      </c>
      <c r="D12" s="54">
        <f t="shared" si="7"/>
        <v>102.25</v>
      </c>
      <c r="E12" s="54">
        <f>IF($C12&gt;wsk!$F$44,IF($C11&lt;wsk!$F$44,($C12-wsk!$F$44)*wsk!$F$8,0),$B12*wsk!$F$8)</f>
        <v>195.20000000000002</v>
      </c>
      <c r="F12" s="54">
        <f>IF($C12&gt;wsk!$F$44,IF($C11&lt;wsk!$F$44,($C12-wsk!$F$44)*wsk!$F$9,0),$B12*wsk!$F$9)</f>
        <v>130</v>
      </c>
      <c r="G12" s="54">
        <f>ROUND(B12*wsk!$F$10,2)</f>
        <v>49</v>
      </c>
      <c r="H12" s="54">
        <f t="shared" si="0"/>
        <v>374.20000000000005</v>
      </c>
      <c r="I12" s="53">
        <f>ROUND(SUM($B$5:B12)-SUM($D$5:D12)-SUM($H$5:H12),)</f>
        <v>12188</v>
      </c>
      <c r="J12" s="53">
        <f t="shared" si="1"/>
        <v>1524</v>
      </c>
      <c r="K12" s="54">
        <f>ROUND((B12-H12)*wsk!$F$11,2)</f>
        <v>126</v>
      </c>
      <c r="L12" s="54">
        <f>ROUND((B12-H12)*wsk!$F$12,2)</f>
        <v>16.26</v>
      </c>
      <c r="M12" s="54">
        <f t="shared" si="2"/>
        <v>142.26</v>
      </c>
      <c r="N12" s="54">
        <f t="shared" si="8"/>
        <v>44.17</v>
      </c>
      <c r="O12" s="54">
        <f>ROUND(IF(I12&gt;skala!$D$3,IF(I12&gt;skala!$D$8,IF(I11&lt;skala!$D$8,(skala!$D$8-I11)*0.3+(I12-skala!$D$8)*0.4,J12*0.4),IF(I11&lt;skala!$D$3,(skala!$D$3-I11)*0.19+(I12-skala!$D$3)*0.3,J12*0.3)),J12*0.19)-K12-N12,2)</f>
        <v>119.39</v>
      </c>
      <c r="P12" s="53">
        <f t="shared" si="3"/>
        <v>1364.1499999999999</v>
      </c>
      <c r="Q12" s="54">
        <f>IF($C12&gt;wsk!$D$44,IF($C11&lt;wsk!$D$44,($C12-wsk!$D$44)*0.0976,0),$B12*0.0976)</f>
        <v>195.20000000000002</v>
      </c>
      <c r="R12" s="54">
        <f>IF($C12&gt;wsk!$F$44,IF($C11&lt;wsk!$F$44,($C12-wsk!$F$44)*wsk!$F$17,0),$B12*wsk!$F$17)</f>
        <v>130</v>
      </c>
      <c r="S12" s="54">
        <f>ROUND(B12*wsk!$F$18,2)</f>
        <v>38.6</v>
      </c>
      <c r="T12" s="54">
        <f>ROUND(B12*wsk!$F$19,2)</f>
        <v>3</v>
      </c>
      <c r="U12" s="54">
        <f>ROUND(B12*wsk!$F$20,2)</f>
        <v>49</v>
      </c>
      <c r="V12" s="53">
        <f t="shared" si="4"/>
        <v>415.80000000000007</v>
      </c>
      <c r="W12" s="53">
        <f t="shared" si="5"/>
        <v>2415.8</v>
      </c>
    </row>
    <row r="13" spans="1:23" ht="12.75">
      <c r="A13" s="47" t="s">
        <v>81</v>
      </c>
      <c r="B13" s="48">
        <f t="shared" si="6"/>
        <v>2000</v>
      </c>
      <c r="C13" s="48">
        <f>SUM($B$5:B13)</f>
        <v>18000</v>
      </c>
      <c r="D13" s="49">
        <f t="shared" si="7"/>
        <v>102.25</v>
      </c>
      <c r="E13" s="49">
        <f>IF($C13&gt;wsk!$F$44,IF($C12&lt;wsk!$F$44,($C13-wsk!$F$44)*wsk!$F$8,0),$B13*wsk!$F$8)</f>
        <v>195.20000000000002</v>
      </c>
      <c r="F13" s="49">
        <f>IF($C13&gt;wsk!$F$44,IF($C12&lt;wsk!$F$44,($C13-wsk!$F$44)*wsk!$F$9,0),$B13*wsk!$F$9)</f>
        <v>130</v>
      </c>
      <c r="G13" s="49">
        <f>ROUND(B13*wsk!$F$10,2)</f>
        <v>49</v>
      </c>
      <c r="H13" s="49">
        <f t="shared" si="0"/>
        <v>374.20000000000005</v>
      </c>
      <c r="I13" s="48">
        <f>ROUND(SUM($B$5:B13)-SUM($D$5:D13)-SUM($H$5:H13),)</f>
        <v>13712</v>
      </c>
      <c r="J13" s="48">
        <f t="shared" si="1"/>
        <v>1524</v>
      </c>
      <c r="K13" s="49">
        <f>ROUND((B13-H13)*wsk!$F$11,2)</f>
        <v>126</v>
      </c>
      <c r="L13" s="49">
        <f>ROUND((B13-H13)*wsk!$F$12,2)</f>
        <v>16.26</v>
      </c>
      <c r="M13" s="49">
        <f t="shared" si="2"/>
        <v>142.26</v>
      </c>
      <c r="N13" s="49">
        <f t="shared" si="8"/>
        <v>44.17</v>
      </c>
      <c r="O13" s="49">
        <f>ROUND(IF(I13&gt;skala!$D$3,IF(I13&gt;skala!$D$8,IF(I12&lt;skala!$D$8,(skala!$D$8-I12)*0.3+(I13-skala!$D$8)*0.4,J13*0.4),IF(I12&lt;skala!$D$3,(skala!$D$3-I12)*0.19+(I13-skala!$D$3)*0.3,J13*0.3)),J13*0.19)-K13-N13,2)</f>
        <v>119.39</v>
      </c>
      <c r="P13" s="48">
        <f t="shared" si="3"/>
        <v>1364.1499999999999</v>
      </c>
      <c r="Q13" s="49">
        <f>IF($C13&gt;wsk!$D$44,IF($C12&lt;wsk!$D$44,($C13-wsk!$D$44)*0.0976,0),$B13*0.0976)</f>
        <v>195.20000000000002</v>
      </c>
      <c r="R13" s="49">
        <f>IF($C13&gt;wsk!$F$44,IF($C12&lt;wsk!$F$44,($C13-wsk!$F$44)*wsk!$F$17,0),$B13*wsk!$F$17)</f>
        <v>130</v>
      </c>
      <c r="S13" s="49">
        <f>ROUND(B13*wsk!$F$18,2)</f>
        <v>38.6</v>
      </c>
      <c r="T13" s="49">
        <f>ROUND(B13*wsk!$F$19,2)</f>
        <v>3</v>
      </c>
      <c r="U13" s="49">
        <f>ROUND(B13*wsk!$F$20,2)</f>
        <v>49</v>
      </c>
      <c r="V13" s="48">
        <f t="shared" si="4"/>
        <v>415.80000000000007</v>
      </c>
      <c r="W13" s="48">
        <f t="shared" si="5"/>
        <v>2415.8</v>
      </c>
    </row>
    <row r="14" spans="1:23" ht="12.75">
      <c r="A14" s="52" t="s">
        <v>82</v>
      </c>
      <c r="B14" s="53">
        <f t="shared" si="6"/>
        <v>2000</v>
      </c>
      <c r="C14" s="53">
        <f>SUM($B$5:B14)</f>
        <v>20000</v>
      </c>
      <c r="D14" s="54">
        <f t="shared" si="7"/>
        <v>102.25</v>
      </c>
      <c r="E14" s="54">
        <f>IF($C14&gt;wsk!$F$44,IF($C13&lt;wsk!$F$44,($C14-wsk!$F$44)*wsk!$F$8,0),$B14*wsk!$F$8)</f>
        <v>195.20000000000002</v>
      </c>
      <c r="F14" s="54">
        <f>IF($C14&gt;wsk!$F$44,IF($C13&lt;wsk!$F$44,($C14-wsk!$F$44)*wsk!$F$9,0),$B14*wsk!$F$9)</f>
        <v>130</v>
      </c>
      <c r="G14" s="54">
        <f>ROUND(B14*wsk!$F$10,2)</f>
        <v>49</v>
      </c>
      <c r="H14" s="54">
        <f t="shared" si="0"/>
        <v>374.20000000000005</v>
      </c>
      <c r="I14" s="53">
        <f>ROUND(SUM($B$5:B14)-SUM($D$5:D14)-SUM($H$5:H14),)</f>
        <v>15236</v>
      </c>
      <c r="J14" s="53">
        <f t="shared" si="1"/>
        <v>1524</v>
      </c>
      <c r="K14" s="54">
        <f>ROUND((B14-H14)*wsk!$F$11,2)</f>
        <v>126</v>
      </c>
      <c r="L14" s="54">
        <f>ROUND((B14-H14)*wsk!$F$12,2)</f>
        <v>16.26</v>
      </c>
      <c r="M14" s="54">
        <f t="shared" si="2"/>
        <v>142.26</v>
      </c>
      <c r="N14" s="54">
        <f t="shared" si="8"/>
        <v>44.17</v>
      </c>
      <c r="O14" s="54">
        <f>ROUND(IF(I14&gt;skala!$D$3,IF(I14&gt;skala!$D$8,IF(I13&lt;skala!$D$8,(skala!$D$8-I13)*0.3+(I14-skala!$D$8)*0.4,J14*0.4),IF(I13&lt;skala!$D$3,(skala!$D$3-I13)*0.19+(I14-skala!$D$3)*0.3,J14*0.3)),J14*0.19)-K14-N14,2)</f>
        <v>119.39</v>
      </c>
      <c r="P14" s="53">
        <f t="shared" si="3"/>
        <v>1364.1499999999999</v>
      </c>
      <c r="Q14" s="54">
        <f>IF($C14&gt;wsk!$D$44,IF($C13&lt;wsk!$D$44,($C14-wsk!$D$44)*0.0976,0),$B14*0.0976)</f>
        <v>195.20000000000002</v>
      </c>
      <c r="R14" s="54">
        <f>IF($C14&gt;wsk!$F$44,IF($C13&lt;wsk!$F$44,($C14-wsk!$F$44)*wsk!$F$17,0),$B14*wsk!$F$17)</f>
        <v>130</v>
      </c>
      <c r="S14" s="54">
        <f>ROUND(B14*wsk!$F$18,2)</f>
        <v>38.6</v>
      </c>
      <c r="T14" s="54">
        <f>ROUND(B14*wsk!$F$19,2)</f>
        <v>3</v>
      </c>
      <c r="U14" s="54">
        <f>ROUND(B14*wsk!$F$20,2)</f>
        <v>49</v>
      </c>
      <c r="V14" s="53">
        <f t="shared" si="4"/>
        <v>415.80000000000007</v>
      </c>
      <c r="W14" s="53">
        <f t="shared" si="5"/>
        <v>2415.8</v>
      </c>
    </row>
    <row r="15" spans="1:23" ht="12.75">
      <c r="A15" s="47" t="s">
        <v>83</v>
      </c>
      <c r="B15" s="48">
        <f t="shared" si="6"/>
        <v>2000</v>
      </c>
      <c r="C15" s="48">
        <f>SUM($B$5:B15)</f>
        <v>22000</v>
      </c>
      <c r="D15" s="49">
        <f t="shared" si="7"/>
        <v>102.25</v>
      </c>
      <c r="E15" s="49">
        <f>IF($C15&gt;wsk!$F$44,IF($C14&lt;wsk!$F$44,($C15-wsk!$F$44)*wsk!$F$8,0),$B15*wsk!$F$8)</f>
        <v>195.20000000000002</v>
      </c>
      <c r="F15" s="49">
        <f>IF($C15&gt;wsk!$F$44,IF($C14&lt;wsk!$F$44,($C15-wsk!$F$44)*wsk!$F$9,0),$B15*wsk!$F$9)</f>
        <v>130</v>
      </c>
      <c r="G15" s="49">
        <f>ROUND(B15*wsk!$F$10,2)</f>
        <v>49</v>
      </c>
      <c r="H15" s="49">
        <f t="shared" si="0"/>
        <v>374.20000000000005</v>
      </c>
      <c r="I15" s="48">
        <f>ROUND(SUM($B$5:B15)-SUM($D$5:D15)-SUM($H$5:H15),)</f>
        <v>16759</v>
      </c>
      <c r="J15" s="48">
        <f t="shared" si="1"/>
        <v>1524</v>
      </c>
      <c r="K15" s="49">
        <f>ROUND((B15-H15)*wsk!$F$11,2)</f>
        <v>126</v>
      </c>
      <c r="L15" s="49">
        <f>ROUND((B15-H15)*wsk!$F$12,2)</f>
        <v>16.26</v>
      </c>
      <c r="M15" s="49">
        <f t="shared" si="2"/>
        <v>142.26</v>
      </c>
      <c r="N15" s="49">
        <f t="shared" si="8"/>
        <v>44.17</v>
      </c>
      <c r="O15" s="49">
        <f>ROUND(IF(I15&gt;skala!$D$3,IF(I15&gt;skala!$D$8,IF(I14&lt;skala!$D$8,(skala!$D$8-I14)*0.3+(I15-skala!$D$8)*0.4,J15*0.4),IF(I14&lt;skala!$D$3,(skala!$D$3-I14)*0.19+(I15-skala!$D$3)*0.3,J15*0.3)),J15*0.19)-K15-N15,2)</f>
        <v>119.39</v>
      </c>
      <c r="P15" s="48">
        <f t="shared" si="3"/>
        <v>1364.1499999999999</v>
      </c>
      <c r="Q15" s="49">
        <f>IF($C15&gt;wsk!$D$44,IF($C14&lt;wsk!$D$44,($C15-wsk!$D$44)*0.0976,0),$B15*0.0976)</f>
        <v>195.20000000000002</v>
      </c>
      <c r="R15" s="49">
        <f>IF($C15&gt;wsk!$F$44,IF($C14&lt;wsk!$F$44,($C15-wsk!$F$44)*wsk!$F$17,0),$B15*wsk!$F$17)</f>
        <v>130</v>
      </c>
      <c r="S15" s="49">
        <f>ROUND(B15*wsk!$F$18,2)</f>
        <v>38.6</v>
      </c>
      <c r="T15" s="49">
        <f>ROUND(B15*wsk!$F$19,2)</f>
        <v>3</v>
      </c>
      <c r="U15" s="49">
        <f>ROUND(B15*wsk!$F$20,2)</f>
        <v>49</v>
      </c>
      <c r="V15" s="48">
        <f t="shared" si="4"/>
        <v>415.80000000000007</v>
      </c>
      <c r="W15" s="48">
        <f t="shared" si="5"/>
        <v>2415.8</v>
      </c>
    </row>
    <row r="16" spans="1:23" ht="13.5" thickBot="1">
      <c r="A16" s="55" t="s">
        <v>84</v>
      </c>
      <c r="B16" s="56">
        <f t="shared" si="6"/>
        <v>2000</v>
      </c>
      <c r="C16" s="56">
        <f>SUM($B$5:B16)</f>
        <v>24000</v>
      </c>
      <c r="D16" s="57">
        <f t="shared" si="7"/>
        <v>102.25</v>
      </c>
      <c r="E16" s="57">
        <f>IF($C16&gt;wsk!$F$44,IF($C15&lt;wsk!$F$44,($C16-wsk!$F$44)*wsk!$F$8,0),$B16*wsk!$F$8)</f>
        <v>195.20000000000002</v>
      </c>
      <c r="F16" s="57">
        <f>IF($C16&gt;wsk!$F$44,IF($C15&lt;wsk!$F$44,($C16-wsk!$F$44)*wsk!$F$9,0),$B16*wsk!$F$9)</f>
        <v>130</v>
      </c>
      <c r="G16" s="57">
        <f>ROUND(B16*wsk!$F$10,2)</f>
        <v>49</v>
      </c>
      <c r="H16" s="57">
        <f t="shared" si="0"/>
        <v>374.20000000000005</v>
      </c>
      <c r="I16" s="56">
        <f>ROUND(SUM($B$5:B16)-SUM($D$5:D16)-SUM($H$5:H16),)</f>
        <v>18283</v>
      </c>
      <c r="J16" s="56">
        <f t="shared" si="1"/>
        <v>1524</v>
      </c>
      <c r="K16" s="57">
        <f>ROUND((B16-H16)*wsk!$F$11,2)</f>
        <v>126</v>
      </c>
      <c r="L16" s="57">
        <f>ROUND((B16-H16)*wsk!$F$12,2)</f>
        <v>16.26</v>
      </c>
      <c r="M16" s="57">
        <f t="shared" si="2"/>
        <v>142.26</v>
      </c>
      <c r="N16" s="57">
        <f t="shared" si="8"/>
        <v>44.17</v>
      </c>
      <c r="O16" s="57">
        <f>ROUND(IF(I16&gt;skala!$D$3,IF(I16&gt;skala!$D$8,IF(I15&lt;skala!$D$8,(skala!$D$8-I15)*0.3+(I16-skala!$D$8)*0.4,J16*0.4),IF(I15&lt;skala!$D$3,(skala!$D$3-I15)*0.19+(I16-skala!$D$3)*0.3,J16*0.3)),J16*0.19)-K16-N16,2)</f>
        <v>119.39</v>
      </c>
      <c r="P16" s="56">
        <f t="shared" si="3"/>
        <v>1364.1499999999999</v>
      </c>
      <c r="Q16" s="57">
        <f>IF($C16&gt;wsk!$D$44,IF($C15&lt;wsk!$D$44,($C16-wsk!$D$44)*0.0976,0),$B16*0.0976)</f>
        <v>195.20000000000002</v>
      </c>
      <c r="R16" s="57">
        <f>IF($C16&gt;wsk!$F$44,IF($C15&lt;wsk!$F$44,($C16-wsk!$F$44)*wsk!$F$17,0),$B16*wsk!$F$17)</f>
        <v>130</v>
      </c>
      <c r="S16" s="57">
        <f>ROUND(B16*wsk!$F$18,2)</f>
        <v>38.6</v>
      </c>
      <c r="T16" s="57">
        <f>ROUND(B16*wsk!$F$19,2)</f>
        <v>3</v>
      </c>
      <c r="U16" s="57">
        <f>ROUND(B16*wsk!$F$20,2)</f>
        <v>49</v>
      </c>
      <c r="V16" s="56">
        <f t="shared" si="4"/>
        <v>415.80000000000007</v>
      </c>
      <c r="W16" s="56">
        <f t="shared" si="5"/>
        <v>2415.8</v>
      </c>
    </row>
    <row r="17" spans="1:23" ht="13.5" thickBot="1">
      <c r="A17" s="60" t="s">
        <v>85</v>
      </c>
      <c r="B17" s="58">
        <f>SUM(B5:B16)</f>
        <v>24000</v>
      </c>
      <c r="C17" s="58">
        <f>C16</f>
        <v>24000</v>
      </c>
      <c r="D17" s="58">
        <f>SUM(D5:D16)</f>
        <v>1227</v>
      </c>
      <c r="E17" s="58">
        <f>SUM(E5:E16)</f>
        <v>2342.4</v>
      </c>
      <c r="F17" s="58">
        <f>SUM(F5:F16)</f>
        <v>1560</v>
      </c>
      <c r="G17" s="58">
        <f>SUM(G5:G16)</f>
        <v>588</v>
      </c>
      <c r="H17" s="58">
        <f>SUM(H5:H16)</f>
        <v>4490.4</v>
      </c>
      <c r="I17" s="58">
        <f>I16</f>
        <v>18283</v>
      </c>
      <c r="J17" s="58">
        <f aca="true" t="shared" si="9" ref="J17:W17">SUM(J5:J16)</f>
        <v>18288</v>
      </c>
      <c r="K17" s="58">
        <f t="shared" si="9"/>
        <v>1512</v>
      </c>
      <c r="L17" s="58">
        <f t="shared" si="9"/>
        <v>195.11999999999998</v>
      </c>
      <c r="M17" s="58">
        <f t="shared" si="9"/>
        <v>1707.12</v>
      </c>
      <c r="N17" s="58">
        <f t="shared" si="9"/>
        <v>530.0400000000001</v>
      </c>
      <c r="O17" s="58">
        <f t="shared" si="9"/>
        <v>1432.6800000000003</v>
      </c>
      <c r="P17" s="58">
        <f t="shared" si="9"/>
        <v>16369.799999999997</v>
      </c>
      <c r="Q17" s="58">
        <f t="shared" si="9"/>
        <v>2342.4</v>
      </c>
      <c r="R17" s="58">
        <f t="shared" si="9"/>
        <v>1560</v>
      </c>
      <c r="S17" s="58">
        <f t="shared" si="9"/>
        <v>463.2000000000001</v>
      </c>
      <c r="T17" s="58">
        <f t="shared" si="9"/>
        <v>36</v>
      </c>
      <c r="U17" s="58">
        <f t="shared" si="9"/>
        <v>588</v>
      </c>
      <c r="V17" s="58">
        <f t="shared" si="9"/>
        <v>4989.600000000001</v>
      </c>
      <c r="W17" s="58">
        <f t="shared" si="9"/>
        <v>28989.599999999995</v>
      </c>
    </row>
    <row r="18" spans="17:18" s="42" customFormat="1" ht="12.75">
      <c r="Q18" s="42" t="b">
        <f>E17=Q17</f>
        <v>1</v>
      </c>
      <c r="R18" s="42" t="b">
        <f>F17=R17</f>
        <v>1</v>
      </c>
    </row>
    <row r="19" ht="12.75" hidden="1" outlineLevel="1"/>
    <row r="20" spans="10:24" ht="12.75" hidden="1" outlineLevel="1">
      <c r="J20" s="43">
        <f>J17</f>
        <v>18288</v>
      </c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</row>
    <row r="21" spans="10:24" ht="12.75" hidden="1" outlineLevel="1">
      <c r="J21" s="43">
        <f>IF(J20&gt;skala!$D$3,IF(J20&gt;skala!$D$8,skala!$D$8,skala!$D$3),0)</f>
        <v>0</v>
      </c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</row>
    <row r="22" spans="10:24" ht="12.75" hidden="1" outlineLevel="1">
      <c r="J22" s="43"/>
      <c r="K22" s="3"/>
      <c r="L22" s="3"/>
      <c r="M22" s="3"/>
      <c r="N22" s="3"/>
      <c r="P22" s="3"/>
      <c r="Q22" s="3"/>
      <c r="R22" s="3"/>
      <c r="S22" s="3"/>
      <c r="T22" s="3"/>
      <c r="U22" s="3"/>
      <c r="V22" s="3"/>
      <c r="W22" s="3"/>
      <c r="X22" s="3"/>
    </row>
    <row r="23" spans="10:24" ht="12.75" hidden="1" outlineLevel="1">
      <c r="J23" s="44">
        <f>J20-J21</f>
        <v>18288</v>
      </c>
      <c r="K23" s="3"/>
      <c r="L23" s="3"/>
      <c r="M23" s="3"/>
      <c r="N23" s="3"/>
      <c r="P23" s="3"/>
      <c r="Q23" s="3"/>
      <c r="R23" s="3"/>
      <c r="S23" s="3"/>
      <c r="T23" s="3"/>
      <c r="U23" s="3"/>
      <c r="V23" s="3"/>
      <c r="W23" s="3"/>
      <c r="X23" s="3"/>
    </row>
    <row r="24" spans="10:24" ht="12.75" hidden="1" outlineLevel="1">
      <c r="J24" s="43">
        <f>IF(J23&gt;skala!F12,J23*skala!F4-skala!F5,0)</f>
        <v>2944.6400000000003</v>
      </c>
      <c r="K24" s="3"/>
      <c r="L24" s="3"/>
      <c r="M24" s="3"/>
      <c r="N24" s="3"/>
      <c r="P24" s="3"/>
      <c r="Q24" s="3"/>
      <c r="R24" s="3"/>
      <c r="S24" s="3"/>
      <c r="T24" s="3"/>
      <c r="U24" s="3"/>
      <c r="V24" s="3"/>
      <c r="W24" s="3"/>
      <c r="X24" s="3"/>
    </row>
    <row r="25" spans="9:24" ht="12.75" hidden="1" outlineLevel="1">
      <c r="I25" s="43">
        <f>IF(J24&gt;0,skala!F7,0)</f>
        <v>6504.4800000000005</v>
      </c>
      <c r="J25" s="43">
        <f>(J23-I25)*skala!F9</f>
        <v>3535.056</v>
      </c>
      <c r="K25" s="3"/>
      <c r="L25" s="3"/>
      <c r="M25" s="3"/>
      <c r="N25" s="3"/>
      <c r="P25" s="3"/>
      <c r="Q25" s="3"/>
      <c r="R25" s="3"/>
      <c r="S25" s="3"/>
      <c r="T25" s="3"/>
      <c r="U25" s="3"/>
      <c r="V25" s="3"/>
      <c r="W25" s="3"/>
      <c r="X25" s="3"/>
    </row>
    <row r="26" spans="9:24" ht="12.75" hidden="1" outlineLevel="1">
      <c r="I26" s="43">
        <f>IF(I25&gt;0,skala!F10,0)</f>
        <v>17611.68</v>
      </c>
      <c r="J26" s="43">
        <f>IF(J23&lt;I26,0,(J23-I26)*skala!F11)</f>
        <v>270.5279999999999</v>
      </c>
      <c r="K26" s="3"/>
      <c r="L26" s="3"/>
      <c r="M26" s="3"/>
      <c r="N26" s="3"/>
      <c r="P26" s="3"/>
      <c r="Q26" s="3"/>
      <c r="R26" s="3"/>
      <c r="S26" s="3"/>
      <c r="T26" s="3"/>
      <c r="U26" s="3"/>
      <c r="V26" s="3"/>
      <c r="W26" s="3"/>
      <c r="X26" s="3"/>
    </row>
    <row r="27" spans="10:24" ht="12.75" hidden="1" outlineLevel="1">
      <c r="J27" s="43"/>
      <c r="K27" s="3"/>
      <c r="L27" s="3"/>
      <c r="M27" s="3"/>
      <c r="N27" s="3"/>
      <c r="P27" s="3"/>
      <c r="Q27" s="3"/>
      <c r="R27" s="3"/>
      <c r="S27" s="3"/>
      <c r="T27" s="3"/>
      <c r="U27" s="3"/>
      <c r="V27" s="3"/>
      <c r="W27" s="3"/>
      <c r="X27" s="3"/>
    </row>
    <row r="28" spans="10:24" ht="12.75" hidden="1" outlineLevel="1">
      <c r="J28" s="44">
        <f>SUM(J24:J27)</f>
        <v>6750.224</v>
      </c>
      <c r="K28" s="3"/>
      <c r="L28" s="3"/>
      <c r="M28" s="3"/>
      <c r="N28" s="3"/>
      <c r="P28" s="3"/>
      <c r="Q28" s="3"/>
      <c r="R28" s="3"/>
      <c r="S28" s="3"/>
      <c r="T28" s="3"/>
      <c r="U28" s="3"/>
      <c r="V28" s="3"/>
      <c r="W28" s="3"/>
      <c r="X28" s="3"/>
    </row>
    <row r="29" ht="12.75" hidden="1" outlineLevel="1">
      <c r="J29" s="43">
        <f>-O17</f>
        <v>-1432.6800000000003</v>
      </c>
    </row>
    <row r="30" ht="12.75" hidden="1" outlineLevel="1">
      <c r="J30" s="43">
        <f>-K17</f>
        <v>-1512</v>
      </c>
    </row>
    <row r="31" ht="12.75" hidden="1" outlineLevel="1">
      <c r="J31" s="43"/>
    </row>
    <row r="32" ht="12.75" hidden="1" outlineLevel="1">
      <c r="J32" s="44">
        <f>SUM(J28:J31)</f>
        <v>3805.544</v>
      </c>
    </row>
    <row r="33" ht="12.75" hidden="1" outlineLevel="1">
      <c r="J33" s="1" t="str">
        <f>IF(J32&lt;1,"OK.!","BŁĄD!")</f>
        <v>BŁĄD!</v>
      </c>
    </row>
    <row r="34" ht="12.75" hidden="1" outlineLevel="1"/>
    <row r="35" ht="12.75" hidden="1" outlineLevel="1"/>
    <row r="36" ht="12.75" collapsed="1"/>
    <row r="37" spans="1:23" ht="63.75">
      <c r="A37" s="45"/>
      <c r="B37" s="46" t="s">
        <v>64</v>
      </c>
      <c r="C37" s="46" t="s">
        <v>89</v>
      </c>
      <c r="D37" s="46" t="s">
        <v>65</v>
      </c>
      <c r="E37" s="46" t="s">
        <v>15</v>
      </c>
      <c r="F37" s="46" t="s">
        <v>16</v>
      </c>
      <c r="G37" s="46" t="s">
        <v>17</v>
      </c>
      <c r="H37" s="46" t="s">
        <v>66</v>
      </c>
      <c r="I37" s="46" t="s">
        <v>88</v>
      </c>
      <c r="J37" s="46" t="s">
        <v>67</v>
      </c>
      <c r="K37" s="46" t="s">
        <v>111</v>
      </c>
      <c r="L37" s="46" t="s">
        <v>112</v>
      </c>
      <c r="M37" s="46" t="s">
        <v>69</v>
      </c>
      <c r="N37" s="46" t="s">
        <v>23</v>
      </c>
      <c r="O37" s="46" t="s">
        <v>68</v>
      </c>
      <c r="P37" s="46" t="s">
        <v>70</v>
      </c>
      <c r="Q37" s="46" t="s">
        <v>15</v>
      </c>
      <c r="R37" s="46" t="s">
        <v>16</v>
      </c>
      <c r="S37" s="46" t="s">
        <v>54</v>
      </c>
      <c r="T37" s="46" t="s">
        <v>86</v>
      </c>
      <c r="U37" s="46" t="s">
        <v>87</v>
      </c>
      <c r="V37" s="46" t="s">
        <v>71</v>
      </c>
      <c r="W37" s="46" t="s">
        <v>72</v>
      </c>
    </row>
    <row r="38" spans="1:23" ht="12.75">
      <c r="A38" s="47" t="s">
        <v>73</v>
      </c>
      <c r="B38" s="87">
        <f>tabela!F7</f>
        <v>5000</v>
      </c>
      <c r="C38" s="48">
        <f>SUM($B$38:B38)</f>
        <v>5000</v>
      </c>
      <c r="D38" s="49">
        <f>y!$R$9</f>
        <v>102.25</v>
      </c>
      <c r="E38" s="88">
        <f>IF($C38&gt;wsk!$F$44,IF($C37&lt;wsk!$F$44,($C38-wsk!$F$44)*wsk!$F$8,0),$B38*wsk!$F$8)</f>
        <v>488.00000000000006</v>
      </c>
      <c r="F38" s="88">
        <f>IF($C38&gt;wsk!$F$44,IF($C37&lt;wsk!$F$44,($C38-wsk!$F$44)*wsk!$F$9,0),$B38*wsk!$F$9)</f>
        <v>325</v>
      </c>
      <c r="G38" s="88">
        <f>ROUND(B38*wsk!$F$10,2)</f>
        <v>122.5</v>
      </c>
      <c r="H38" s="49">
        <f aca="true" t="shared" si="10" ref="H38:H49">SUM(E38:G38)</f>
        <v>935.5</v>
      </c>
      <c r="I38" s="48">
        <f>ROUND(SUM($B$38:B38)-SUM($D$38:D38)-SUM($H$38:H38),)</f>
        <v>3962</v>
      </c>
      <c r="J38" s="48">
        <f aca="true" t="shared" si="11" ref="J38:J49">ROUND(SUM(B38,-D38,-H38),0)</f>
        <v>3962</v>
      </c>
      <c r="K38" s="88">
        <f>ROUND((B38-H38)*wsk!$F$11,2)</f>
        <v>315</v>
      </c>
      <c r="L38" s="88">
        <f>ROUND((B38-H38)*wsk!$F$12,2)</f>
        <v>40.65</v>
      </c>
      <c r="M38" s="49">
        <f aca="true" t="shared" si="12" ref="M38:M49">SUM(K38:L38)</f>
        <v>355.65</v>
      </c>
      <c r="N38" s="88">
        <f>N5</f>
        <v>44.17</v>
      </c>
      <c r="O38" s="49">
        <f>ROUND(IF(I38&gt;skala!$F$3,IF(I38&gt;skala!$F$8,IF(I37&lt;skala!$F$8,(skala!$F$8-I37)*0.3+(I38-skala!$F$8)*0.4,J38*0.4),IF(I37&lt;skala!$F$3,(skala!$F$3-I37)*0.19+(I38-skala!$F$3)*0.3,J38*0.3)),J38*0.19)-K38-N38,2)</f>
        <v>393.61</v>
      </c>
      <c r="P38" s="48">
        <f aca="true" t="shared" si="13" ref="P38:P49">SUM(B38,-H38,-M38,-O38)</f>
        <v>3315.24</v>
      </c>
      <c r="Q38" s="88">
        <f>IF($C38&gt;wsk!$F$44,IF($C37&lt;wsk!$F$44,($C38-wsk!$F$44)*wsk!$F$16,0),$B38*wsk!$F$16)</f>
        <v>488.00000000000006</v>
      </c>
      <c r="R38" s="88">
        <f>IF($C38&gt;wsk!$F$44,IF($C37&lt;wsk!$F$44,($C38-wsk!$F$44)*wsk!$F$17,0),$B38*wsk!$F$17)</f>
        <v>325</v>
      </c>
      <c r="S38" s="88">
        <f>ROUND(B38*wsk!$F$18,2)</f>
        <v>96.5</v>
      </c>
      <c r="T38" s="88">
        <f>ROUND(B38*wsk!$F$19,2)</f>
        <v>7.5</v>
      </c>
      <c r="U38" s="88">
        <f>ROUND(B38*wsk!$F$20,2)</f>
        <v>122.5</v>
      </c>
      <c r="V38" s="48">
        <f aca="true" t="shared" si="14" ref="V38:V49">SUM(Q38:U38)</f>
        <v>1039.5</v>
      </c>
      <c r="W38" s="48">
        <f aca="true" t="shared" si="15" ref="W38:W49">SUM(B38,V38)</f>
        <v>6039.5</v>
      </c>
    </row>
    <row r="39" spans="1:23" ht="12.75">
      <c r="A39" s="52" t="s">
        <v>74</v>
      </c>
      <c r="B39" s="53">
        <f aca="true" t="shared" si="16" ref="B39:B49">B38</f>
        <v>5000</v>
      </c>
      <c r="C39" s="48">
        <f>SUM($B$38:B39)</f>
        <v>10000</v>
      </c>
      <c r="D39" s="54">
        <f aca="true" t="shared" si="17" ref="D39:D49">D38</f>
        <v>102.25</v>
      </c>
      <c r="E39" s="54">
        <f>IF($C39&gt;wsk!$F$44,IF($C38&lt;wsk!$F$44,($C39-wsk!$F$44)*wsk!$F$8,0),$B39*wsk!$F$8)</f>
        <v>488.00000000000006</v>
      </c>
      <c r="F39" s="54">
        <f>IF($C39&gt;wsk!$F$44,IF($C38&lt;wsk!$F$44,($C39-wsk!$F$44)*wsk!$F$9,0),$B39*wsk!$F$9)</f>
        <v>325</v>
      </c>
      <c r="G39" s="54">
        <f>ROUND(B39*wsk!$F$10,2)</f>
        <v>122.5</v>
      </c>
      <c r="H39" s="54">
        <f t="shared" si="10"/>
        <v>935.5</v>
      </c>
      <c r="I39" s="48">
        <f>ROUND(SUM($B$38:B39)-SUM($D$38:D39)-SUM($H$38:H39),)</f>
        <v>7925</v>
      </c>
      <c r="J39" s="53">
        <f t="shared" si="11"/>
        <v>3962</v>
      </c>
      <c r="K39" s="54">
        <f>ROUND((B39-H39)*wsk!$F$11,2)</f>
        <v>315</v>
      </c>
      <c r="L39" s="54">
        <f>ROUND((B39-H39)*wsk!$F$12,2)</f>
        <v>40.65</v>
      </c>
      <c r="M39" s="54">
        <f t="shared" si="12"/>
        <v>355.65</v>
      </c>
      <c r="N39" s="54">
        <f aca="true" t="shared" si="18" ref="N39:N49">N38</f>
        <v>44.17</v>
      </c>
      <c r="O39" s="54">
        <f>ROUND(IF(I39&gt;skala!$D$3,IF(I39&gt;skala!$D$8,IF(I38&lt;skala!$D$8,(skala!$D$8-I38)*0.3+(I39-skala!$D$8)*0.4,J39*0.4),IF(I38&lt;skala!$D$3,(skala!$D$3-I38)*0.19+(I39-skala!$D$3)*0.3,J39*0.3)),J39*0.19)-K39-N39,2)</f>
        <v>393.61</v>
      </c>
      <c r="P39" s="53">
        <f t="shared" si="13"/>
        <v>3315.24</v>
      </c>
      <c r="Q39" s="54">
        <f>IF($C39&gt;wsk!$D$44,IF($C38&lt;wsk!$D$44,($C39-wsk!$D$44)*0.0976,0),$B39*0.0976)</f>
        <v>488.00000000000006</v>
      </c>
      <c r="R39" s="54">
        <f>IF($C39&gt;wsk!$F$44,IF($C38&lt;wsk!$F$44,($C39-wsk!$F$44)*wsk!$F$17,0),$B39*wsk!$F$17)</f>
        <v>325</v>
      </c>
      <c r="S39" s="54">
        <f>ROUND(B39*wsk!$F$18,2)</f>
        <v>96.5</v>
      </c>
      <c r="T39" s="54">
        <f>ROUND(B39*wsk!$F$19,2)</f>
        <v>7.5</v>
      </c>
      <c r="U39" s="54">
        <f>ROUND(B39*wsk!$F$20,2)</f>
        <v>122.5</v>
      </c>
      <c r="V39" s="53">
        <f t="shared" si="14"/>
        <v>1039.5</v>
      </c>
      <c r="W39" s="53">
        <f t="shared" si="15"/>
        <v>6039.5</v>
      </c>
    </row>
    <row r="40" spans="1:23" ht="12.75">
      <c r="A40" s="47" t="s">
        <v>75</v>
      </c>
      <c r="B40" s="48">
        <f t="shared" si="16"/>
        <v>5000</v>
      </c>
      <c r="C40" s="48">
        <f>SUM($B$38:B40)</f>
        <v>15000</v>
      </c>
      <c r="D40" s="49">
        <f t="shared" si="17"/>
        <v>102.25</v>
      </c>
      <c r="E40" s="49">
        <f>IF($C40&gt;wsk!$F$44,IF($C39&lt;wsk!$F$44,($C40-wsk!$F$44)*wsk!$F$8,0),$B40*wsk!$F$8)</f>
        <v>488.00000000000006</v>
      </c>
      <c r="F40" s="49">
        <f>IF($C40&gt;wsk!$F$44,IF($C39&lt;wsk!$F$44,($C40-wsk!$F$44)*wsk!$F$9,0),$B40*wsk!$F$9)</f>
        <v>325</v>
      </c>
      <c r="G40" s="49">
        <f>ROUND(B40*wsk!$F$10,2)</f>
        <v>122.5</v>
      </c>
      <c r="H40" s="49">
        <f t="shared" si="10"/>
        <v>935.5</v>
      </c>
      <c r="I40" s="48">
        <f>ROUND(SUM($B$38:B40)-SUM($D$38:D40)-SUM($H$38:H40),)</f>
        <v>11887</v>
      </c>
      <c r="J40" s="48">
        <f t="shared" si="11"/>
        <v>3962</v>
      </c>
      <c r="K40" s="49">
        <f>ROUND((B40-H40)*wsk!$F$11,2)</f>
        <v>315</v>
      </c>
      <c r="L40" s="49">
        <f>ROUND((B40-H40)*wsk!$F$12,2)</f>
        <v>40.65</v>
      </c>
      <c r="M40" s="49">
        <f t="shared" si="12"/>
        <v>355.65</v>
      </c>
      <c r="N40" s="49">
        <f t="shared" si="18"/>
        <v>44.17</v>
      </c>
      <c r="O40" s="49">
        <f>ROUND(IF(I40&gt;skala!$D$3,IF(I40&gt;skala!$D$8,IF(I39&lt;skala!$D$8,(skala!$D$8-I39)*0.3+(I40-skala!$D$8)*0.4,J40*0.4),IF(I39&lt;skala!$D$3,(skala!$D$3-I39)*0.19+(I40-skala!$D$3)*0.3,J40*0.3)),J40*0.19)-K40-N40,2)</f>
        <v>393.61</v>
      </c>
      <c r="P40" s="48">
        <f t="shared" si="13"/>
        <v>3315.24</v>
      </c>
      <c r="Q40" s="49">
        <f>IF($C40&gt;wsk!$D$44,IF($C39&lt;wsk!$D$44,($C40-wsk!$D$44)*0.0976,0),$B40*0.0976)</f>
        <v>488.00000000000006</v>
      </c>
      <c r="R40" s="49">
        <f>IF($C40&gt;wsk!$F$44,IF($C39&lt;wsk!$F$44,($C40-wsk!$F$44)*wsk!$F$17,0),$B40*wsk!$F$17)</f>
        <v>325</v>
      </c>
      <c r="S40" s="49">
        <f>ROUND(B40*wsk!$F$18,2)</f>
        <v>96.5</v>
      </c>
      <c r="T40" s="49">
        <f>ROUND(B40*wsk!$F$19,2)</f>
        <v>7.5</v>
      </c>
      <c r="U40" s="49">
        <f>ROUND(B40*wsk!$F$20,2)</f>
        <v>122.5</v>
      </c>
      <c r="V40" s="48">
        <f t="shared" si="14"/>
        <v>1039.5</v>
      </c>
      <c r="W40" s="48">
        <f t="shared" si="15"/>
        <v>6039.5</v>
      </c>
    </row>
    <row r="41" spans="1:23" ht="12.75">
      <c r="A41" s="52" t="s">
        <v>76</v>
      </c>
      <c r="B41" s="53">
        <f t="shared" si="16"/>
        <v>5000</v>
      </c>
      <c r="C41" s="48">
        <f>SUM($B$38:B41)</f>
        <v>20000</v>
      </c>
      <c r="D41" s="54">
        <f t="shared" si="17"/>
        <v>102.25</v>
      </c>
      <c r="E41" s="54">
        <f>IF($C41&gt;wsk!$F$44,IF($C40&lt;wsk!$F$44,($C41-wsk!$F$44)*wsk!$F$8,0),$B41*wsk!$F$8)</f>
        <v>488.00000000000006</v>
      </c>
      <c r="F41" s="54">
        <f>IF($C41&gt;wsk!$F$44,IF($C40&lt;wsk!$F$44,($C41-wsk!$F$44)*wsk!$F$9,0),$B41*wsk!$F$9)</f>
        <v>325</v>
      </c>
      <c r="G41" s="54">
        <f>ROUND(B41*wsk!$F$10,2)</f>
        <v>122.5</v>
      </c>
      <c r="H41" s="54">
        <f t="shared" si="10"/>
        <v>935.5</v>
      </c>
      <c r="I41" s="48">
        <f>ROUND(SUM($B$38:B41)-SUM($D$38:D41)-SUM($H$38:H41),)</f>
        <v>15849</v>
      </c>
      <c r="J41" s="53">
        <f t="shared" si="11"/>
        <v>3962</v>
      </c>
      <c r="K41" s="54">
        <f>ROUND((B41-H41)*wsk!$F$11,2)</f>
        <v>315</v>
      </c>
      <c r="L41" s="54">
        <f>ROUND((B41-H41)*wsk!$F$12,2)</f>
        <v>40.65</v>
      </c>
      <c r="M41" s="54">
        <f t="shared" si="12"/>
        <v>355.65</v>
      </c>
      <c r="N41" s="54">
        <f t="shared" si="18"/>
        <v>44.17</v>
      </c>
      <c r="O41" s="54">
        <f>ROUND(IF(I41&gt;skala!$D$3,IF(I41&gt;skala!$D$8,IF(I40&lt;skala!$D$8,(skala!$D$8-I40)*0.3+(I41-skala!$D$8)*0.4,J41*0.4),IF(I40&lt;skala!$D$3,(skala!$D$3-I40)*0.19+(I41-skala!$D$3)*0.3,J41*0.3)),J41*0.19)-K41-N41,2)</f>
        <v>393.61</v>
      </c>
      <c r="P41" s="53">
        <f t="shared" si="13"/>
        <v>3315.24</v>
      </c>
      <c r="Q41" s="54">
        <f>IF($C41&gt;wsk!$D$44,IF($C40&lt;wsk!$D$44,($C41-wsk!$D$44)*0.0976,0),$B41*0.0976)</f>
        <v>488.00000000000006</v>
      </c>
      <c r="R41" s="54">
        <f>IF($C41&gt;wsk!$F$44,IF($C40&lt;wsk!$F$44,($C41-wsk!$F$44)*wsk!$F$17,0),$B41*wsk!$F$17)</f>
        <v>325</v>
      </c>
      <c r="S41" s="54">
        <f>ROUND(B41*wsk!$F$18,2)</f>
        <v>96.5</v>
      </c>
      <c r="T41" s="54">
        <f>ROUND(B41*wsk!$F$19,2)</f>
        <v>7.5</v>
      </c>
      <c r="U41" s="54">
        <f>ROUND(B41*wsk!$F$20,2)</f>
        <v>122.5</v>
      </c>
      <c r="V41" s="53">
        <f t="shared" si="14"/>
        <v>1039.5</v>
      </c>
      <c r="W41" s="53">
        <f t="shared" si="15"/>
        <v>6039.5</v>
      </c>
    </row>
    <row r="42" spans="1:23" ht="12.75">
      <c r="A42" s="47" t="s">
        <v>77</v>
      </c>
      <c r="B42" s="48">
        <f t="shared" si="16"/>
        <v>5000</v>
      </c>
      <c r="C42" s="48">
        <f>SUM($B$38:B42)</f>
        <v>25000</v>
      </c>
      <c r="D42" s="49">
        <f t="shared" si="17"/>
        <v>102.25</v>
      </c>
      <c r="E42" s="49">
        <f>IF($C42&gt;wsk!$F$44,IF($C41&lt;wsk!$F$44,($C42-wsk!$F$44)*wsk!$F$8,0),$B42*wsk!$F$8)</f>
        <v>488.00000000000006</v>
      </c>
      <c r="F42" s="49">
        <f>IF($C42&gt;wsk!$F$44,IF($C41&lt;wsk!$F$44,($C42-wsk!$F$44)*wsk!$F$9,0),$B42*wsk!$F$9)</f>
        <v>325</v>
      </c>
      <c r="G42" s="49">
        <f>ROUND(B42*wsk!$F$10,2)</f>
        <v>122.5</v>
      </c>
      <c r="H42" s="49">
        <f t="shared" si="10"/>
        <v>935.5</v>
      </c>
      <c r="I42" s="48">
        <f>ROUND(SUM($B$38:B42)-SUM($D$38:D42)-SUM($H$38:H42),)</f>
        <v>19811</v>
      </c>
      <c r="J42" s="48">
        <f t="shared" si="11"/>
        <v>3962</v>
      </c>
      <c r="K42" s="49">
        <f>ROUND((B42-H42)*wsk!$F$11,2)</f>
        <v>315</v>
      </c>
      <c r="L42" s="49">
        <f>ROUND((B42-H42)*wsk!$F$12,2)</f>
        <v>40.65</v>
      </c>
      <c r="M42" s="49">
        <f t="shared" si="12"/>
        <v>355.65</v>
      </c>
      <c r="N42" s="49">
        <f t="shared" si="18"/>
        <v>44.17</v>
      </c>
      <c r="O42" s="49">
        <f>ROUND(IF(I42&gt;skala!$D$3,IF(I42&gt;skala!$D$8,IF(I41&lt;skala!$D$8,(skala!$D$8-I41)*0.3+(I42-skala!$D$8)*0.4,J42*0.4),IF(I41&lt;skala!$D$3,(skala!$D$3-I41)*0.19+(I42-skala!$D$3)*0.3,J42*0.3)),J42*0.19)-K42-N42,2)</f>
        <v>393.61</v>
      </c>
      <c r="P42" s="48">
        <f t="shared" si="13"/>
        <v>3315.24</v>
      </c>
      <c r="Q42" s="49">
        <f>IF($C42&gt;wsk!$D$44,IF($C41&lt;wsk!$D$44,($C42-wsk!$D$44)*0.0976,0),$B42*0.0976)</f>
        <v>488.00000000000006</v>
      </c>
      <c r="R42" s="49">
        <f>IF($C42&gt;wsk!$F$44,IF($C41&lt;wsk!$F$44,($C42-wsk!$F$44)*wsk!$F$17,0),$B42*wsk!$F$17)</f>
        <v>325</v>
      </c>
      <c r="S42" s="49">
        <f>ROUND(B42*wsk!$F$18,2)</f>
        <v>96.5</v>
      </c>
      <c r="T42" s="49">
        <f>ROUND(B42*wsk!$F$19,2)</f>
        <v>7.5</v>
      </c>
      <c r="U42" s="49">
        <f>ROUND(B42*wsk!$F$20,2)</f>
        <v>122.5</v>
      </c>
      <c r="V42" s="48">
        <f t="shared" si="14"/>
        <v>1039.5</v>
      </c>
      <c r="W42" s="48">
        <f t="shared" si="15"/>
        <v>6039.5</v>
      </c>
    </row>
    <row r="43" spans="1:23" ht="12.75">
      <c r="A43" s="52" t="s">
        <v>78</v>
      </c>
      <c r="B43" s="53">
        <f t="shared" si="16"/>
        <v>5000</v>
      </c>
      <c r="C43" s="48">
        <f>SUM($B$38:B43)</f>
        <v>30000</v>
      </c>
      <c r="D43" s="54">
        <f t="shared" si="17"/>
        <v>102.25</v>
      </c>
      <c r="E43" s="54">
        <f>IF($C43&gt;wsk!$F$44,IF($C42&lt;wsk!$F$44,($C43-wsk!$F$44)*wsk!$F$8,0),$B43*wsk!$F$8)</f>
        <v>488.00000000000006</v>
      </c>
      <c r="F43" s="54">
        <f>IF($C43&gt;wsk!$F$44,IF($C42&lt;wsk!$F$44,($C43-wsk!$F$44)*wsk!$F$9,0),$B43*wsk!$F$9)</f>
        <v>325</v>
      </c>
      <c r="G43" s="54">
        <f>ROUND(B43*wsk!$F$10,2)</f>
        <v>122.5</v>
      </c>
      <c r="H43" s="54">
        <f t="shared" si="10"/>
        <v>935.5</v>
      </c>
      <c r="I43" s="48">
        <f>ROUND(SUM($B$38:B43)-SUM($D$38:D43)-SUM($H$38:H43),)</f>
        <v>23774</v>
      </c>
      <c r="J43" s="53">
        <f t="shared" si="11"/>
        <v>3962</v>
      </c>
      <c r="K43" s="54">
        <f>ROUND((B43-H43)*wsk!$F$11,2)</f>
        <v>315</v>
      </c>
      <c r="L43" s="54">
        <f>ROUND((B43-H43)*wsk!$F$12,2)</f>
        <v>40.65</v>
      </c>
      <c r="M43" s="54">
        <f t="shared" si="12"/>
        <v>355.65</v>
      </c>
      <c r="N43" s="54">
        <f t="shared" si="18"/>
        <v>44.17</v>
      </c>
      <c r="O43" s="54">
        <f>ROUND(IF(I43&gt;skala!$D$3,IF(I43&gt;skala!$D$8,IF(I42&lt;skala!$D$8,(skala!$D$8-I42)*0.3+(I43-skala!$D$8)*0.4,J43*0.4),IF(I42&lt;skala!$D$3,(skala!$D$3-I42)*0.19+(I43-skala!$D$3)*0.3,J43*0.3)),J43*0.19)-K43-N43,2)</f>
        <v>393.61</v>
      </c>
      <c r="P43" s="53">
        <f t="shared" si="13"/>
        <v>3315.24</v>
      </c>
      <c r="Q43" s="54">
        <f>IF($C43&gt;wsk!$D$44,IF($C42&lt;wsk!$D$44,($C43-wsk!$D$44)*0.0976,0),$B43*0.0976)</f>
        <v>488.00000000000006</v>
      </c>
      <c r="R43" s="54">
        <f>IF($C43&gt;wsk!$F$44,IF($C42&lt;wsk!$F$44,($C43-wsk!$F$44)*wsk!$F$17,0),$B43*wsk!$F$17)</f>
        <v>325</v>
      </c>
      <c r="S43" s="54">
        <f>ROUND(B43*wsk!$F$18,2)</f>
        <v>96.5</v>
      </c>
      <c r="T43" s="54">
        <f>ROUND(B43*wsk!$F$19,2)</f>
        <v>7.5</v>
      </c>
      <c r="U43" s="54">
        <f>ROUND(B43*wsk!$F$20,2)</f>
        <v>122.5</v>
      </c>
      <c r="V43" s="53">
        <f t="shared" si="14"/>
        <v>1039.5</v>
      </c>
      <c r="W43" s="53">
        <f t="shared" si="15"/>
        <v>6039.5</v>
      </c>
    </row>
    <row r="44" spans="1:23" ht="12.75">
      <c r="A44" s="47" t="s">
        <v>79</v>
      </c>
      <c r="B44" s="48">
        <f t="shared" si="16"/>
        <v>5000</v>
      </c>
      <c r="C44" s="48">
        <f>SUM($B$38:B44)</f>
        <v>35000</v>
      </c>
      <c r="D44" s="49">
        <f t="shared" si="17"/>
        <v>102.25</v>
      </c>
      <c r="E44" s="49">
        <f>IF($C44&gt;wsk!$F$44,IF($C43&lt;wsk!$F$44,($C44-wsk!$F$44)*wsk!$F$8,0),$B44*wsk!$F$8)</f>
        <v>488.00000000000006</v>
      </c>
      <c r="F44" s="49">
        <f>IF($C44&gt;wsk!$F$44,IF($C43&lt;wsk!$F$44,($C44-wsk!$F$44)*wsk!$F$9,0),$B44*wsk!$F$9)</f>
        <v>325</v>
      </c>
      <c r="G44" s="49">
        <f>ROUND(B44*wsk!$F$10,2)</f>
        <v>122.5</v>
      </c>
      <c r="H44" s="49">
        <f t="shared" si="10"/>
        <v>935.5</v>
      </c>
      <c r="I44" s="48">
        <f>ROUND(SUM($B$38:B44)-SUM($D$38:D44)-SUM($H$38:H44),)</f>
        <v>27736</v>
      </c>
      <c r="J44" s="48">
        <f t="shared" si="11"/>
        <v>3962</v>
      </c>
      <c r="K44" s="49">
        <f>ROUND((B44-H44)*wsk!$F$11,2)</f>
        <v>315</v>
      </c>
      <c r="L44" s="49">
        <f>ROUND((B44-H44)*wsk!$F$12,2)</f>
        <v>40.65</v>
      </c>
      <c r="M44" s="49">
        <f t="shared" si="12"/>
        <v>355.65</v>
      </c>
      <c r="N44" s="49">
        <f t="shared" si="18"/>
        <v>44.17</v>
      </c>
      <c r="O44" s="49">
        <f>ROUND(IF(I44&gt;skala!$D$3,IF(I44&gt;skala!$D$8,IF(I43&lt;skala!$D$8,(skala!$D$8-I43)*0.3+(I44-skala!$D$8)*0.4,J44*0.4),IF(I43&lt;skala!$D$3,(skala!$D$3-I43)*0.19+(I44-skala!$D$3)*0.3,J44*0.3)),J44*0.19)-K44-N44,2)</f>
        <v>393.61</v>
      </c>
      <c r="P44" s="48">
        <f t="shared" si="13"/>
        <v>3315.24</v>
      </c>
      <c r="Q44" s="49">
        <f>IF($C44&gt;wsk!$D$44,IF($C43&lt;wsk!$D$44,($C44-wsk!$D$44)*0.0976,0),$B44*0.0976)</f>
        <v>488.00000000000006</v>
      </c>
      <c r="R44" s="49">
        <f>IF($C44&gt;wsk!$F$44,IF($C43&lt;wsk!$F$44,($C44-wsk!$F$44)*wsk!$F$17,0),$B44*wsk!$F$17)</f>
        <v>325</v>
      </c>
      <c r="S44" s="49">
        <f>ROUND(B44*wsk!$F$18,2)</f>
        <v>96.5</v>
      </c>
      <c r="T44" s="49">
        <f>ROUND(B44*wsk!$F$19,2)</f>
        <v>7.5</v>
      </c>
      <c r="U44" s="49">
        <f>ROUND(B44*wsk!$F$20,2)</f>
        <v>122.5</v>
      </c>
      <c r="V44" s="48">
        <f t="shared" si="14"/>
        <v>1039.5</v>
      </c>
      <c r="W44" s="48">
        <f t="shared" si="15"/>
        <v>6039.5</v>
      </c>
    </row>
    <row r="45" spans="1:23" ht="12.75">
      <c r="A45" s="52" t="s">
        <v>80</v>
      </c>
      <c r="B45" s="53">
        <f t="shared" si="16"/>
        <v>5000</v>
      </c>
      <c r="C45" s="48">
        <f>SUM($B$38:B45)</f>
        <v>40000</v>
      </c>
      <c r="D45" s="54">
        <f t="shared" si="17"/>
        <v>102.25</v>
      </c>
      <c r="E45" s="54">
        <f>IF($C45&gt;wsk!$F$44,IF($C44&lt;wsk!$F$44,($C45-wsk!$F$44)*wsk!$F$8,0),$B45*wsk!$F$8)</f>
        <v>488.00000000000006</v>
      </c>
      <c r="F45" s="54">
        <f>IF($C45&gt;wsk!$F$44,IF($C44&lt;wsk!$F$44,($C45-wsk!$F$44)*wsk!$F$9,0),$B45*wsk!$F$9)</f>
        <v>325</v>
      </c>
      <c r="G45" s="54">
        <f>ROUND(B45*wsk!$F$10,2)</f>
        <v>122.5</v>
      </c>
      <c r="H45" s="54">
        <f t="shared" si="10"/>
        <v>935.5</v>
      </c>
      <c r="I45" s="48">
        <f>ROUND(SUM($B$38:B45)-SUM($D$38:D45)-SUM($H$38:H45),)</f>
        <v>31698</v>
      </c>
      <c r="J45" s="53">
        <f t="shared" si="11"/>
        <v>3962</v>
      </c>
      <c r="K45" s="54">
        <f>ROUND((B45-H45)*wsk!$F$11,2)</f>
        <v>315</v>
      </c>
      <c r="L45" s="54">
        <f>ROUND((B45-H45)*wsk!$F$12,2)</f>
        <v>40.65</v>
      </c>
      <c r="M45" s="54">
        <f t="shared" si="12"/>
        <v>355.65</v>
      </c>
      <c r="N45" s="54">
        <f t="shared" si="18"/>
        <v>44.17</v>
      </c>
      <c r="O45" s="54">
        <f>ROUND(IF(I45&gt;skala!$D$3,IF(I45&gt;skala!$D$8,IF(I44&lt;skala!$D$8,(skala!$D$8-I44)*0.3+(I45-skala!$D$8)*0.4,J45*0.4),IF(I44&lt;skala!$D$3,(skala!$D$3-I44)*0.19+(I45-skala!$D$3)*0.3,J45*0.3)),J45*0.19)-K45-N45,2)</f>
        <v>393.61</v>
      </c>
      <c r="P45" s="53">
        <f t="shared" si="13"/>
        <v>3315.24</v>
      </c>
      <c r="Q45" s="54">
        <f>IF($C45&gt;wsk!$D$44,IF($C44&lt;wsk!$D$44,($C45-wsk!$D$44)*0.0976,0),$B45*0.0976)</f>
        <v>488.00000000000006</v>
      </c>
      <c r="R45" s="54">
        <f>IF($C45&gt;wsk!$F$44,IF($C44&lt;wsk!$F$44,($C45-wsk!$F$44)*wsk!$F$17,0),$B45*wsk!$F$17)</f>
        <v>325</v>
      </c>
      <c r="S45" s="54">
        <f>ROUND(B45*wsk!$F$18,2)</f>
        <v>96.5</v>
      </c>
      <c r="T45" s="54">
        <f>ROUND(B45*wsk!$F$19,2)</f>
        <v>7.5</v>
      </c>
      <c r="U45" s="54">
        <f>ROUND(B45*wsk!$F$20,2)</f>
        <v>122.5</v>
      </c>
      <c r="V45" s="53">
        <f t="shared" si="14"/>
        <v>1039.5</v>
      </c>
      <c r="W45" s="53">
        <f t="shared" si="15"/>
        <v>6039.5</v>
      </c>
    </row>
    <row r="46" spans="1:23" ht="12.75">
      <c r="A46" s="47" t="s">
        <v>81</v>
      </c>
      <c r="B46" s="48">
        <f t="shared" si="16"/>
        <v>5000</v>
      </c>
      <c r="C46" s="48">
        <f>SUM($B$38:B46)</f>
        <v>45000</v>
      </c>
      <c r="D46" s="49">
        <f t="shared" si="17"/>
        <v>102.25</v>
      </c>
      <c r="E46" s="49">
        <f>IF($C46&gt;wsk!$F$44,IF($C45&lt;wsk!$F$44,($C46-wsk!$F$44)*wsk!$F$8,0),$B46*wsk!$F$8)</f>
        <v>488.00000000000006</v>
      </c>
      <c r="F46" s="49">
        <f>IF($C46&gt;wsk!$F$44,IF($C45&lt;wsk!$F$44,($C46-wsk!$F$44)*wsk!$F$9,0),$B46*wsk!$F$9)</f>
        <v>325</v>
      </c>
      <c r="G46" s="49">
        <f>ROUND(B46*wsk!$F$10,2)</f>
        <v>122.5</v>
      </c>
      <c r="H46" s="49">
        <f t="shared" si="10"/>
        <v>935.5</v>
      </c>
      <c r="I46" s="48">
        <f>ROUND(SUM($B$38:B46)-SUM($D$38:D46)-SUM($H$38:H46),)</f>
        <v>35660</v>
      </c>
      <c r="J46" s="48">
        <f t="shared" si="11"/>
        <v>3962</v>
      </c>
      <c r="K46" s="49">
        <f>ROUND((B46-H46)*wsk!$F$11,2)</f>
        <v>315</v>
      </c>
      <c r="L46" s="49">
        <f>ROUND((B46-H46)*wsk!$F$12,2)</f>
        <v>40.65</v>
      </c>
      <c r="M46" s="49">
        <f t="shared" si="12"/>
        <v>355.65</v>
      </c>
      <c r="N46" s="49">
        <f t="shared" si="18"/>
        <v>44.17</v>
      </c>
      <c r="O46" s="49">
        <f>ROUND(IF(I46&gt;skala!$D$3,IF(I46&gt;skala!$D$8,IF(I45&lt;skala!$D$8,(skala!$D$8-I45)*0.3+(I46-skala!$D$8)*0.4,J46*0.4),IF(I45&lt;skala!$D$3,(skala!$D$3-I45)*0.19+(I46-skala!$D$3)*0.3,J46*0.3)),J46*0.19)-K46-N46,2)</f>
        <v>393.61</v>
      </c>
      <c r="P46" s="48">
        <f t="shared" si="13"/>
        <v>3315.24</v>
      </c>
      <c r="Q46" s="49">
        <f>IF($C46&gt;wsk!$D$44,IF($C45&lt;wsk!$D$44,($C46-wsk!$D$44)*0.0976,0),$B46*0.0976)</f>
        <v>488.00000000000006</v>
      </c>
      <c r="R46" s="49">
        <f>IF($C46&gt;wsk!$F$44,IF($C45&lt;wsk!$F$44,($C46-wsk!$F$44)*wsk!$F$17,0),$B46*wsk!$F$17)</f>
        <v>325</v>
      </c>
      <c r="S46" s="49">
        <f>ROUND(B46*wsk!$F$18,2)</f>
        <v>96.5</v>
      </c>
      <c r="T46" s="49">
        <f>ROUND(B46*wsk!$F$19,2)</f>
        <v>7.5</v>
      </c>
      <c r="U46" s="49">
        <f>ROUND(B46*wsk!$F$20,2)</f>
        <v>122.5</v>
      </c>
      <c r="V46" s="48">
        <f t="shared" si="14"/>
        <v>1039.5</v>
      </c>
      <c r="W46" s="48">
        <f t="shared" si="15"/>
        <v>6039.5</v>
      </c>
    </row>
    <row r="47" spans="1:23" ht="12.75">
      <c r="A47" s="52" t="s">
        <v>82</v>
      </c>
      <c r="B47" s="53">
        <f t="shared" si="16"/>
        <v>5000</v>
      </c>
      <c r="C47" s="48">
        <f>SUM($B$38:B47)</f>
        <v>50000</v>
      </c>
      <c r="D47" s="54">
        <f t="shared" si="17"/>
        <v>102.25</v>
      </c>
      <c r="E47" s="54">
        <f>IF($C47&gt;wsk!$F$44,IF($C46&lt;wsk!$F$44,($C47-wsk!$F$44)*wsk!$F$8,0),$B47*wsk!$F$8)</f>
        <v>488.00000000000006</v>
      </c>
      <c r="F47" s="54">
        <f>IF($C47&gt;wsk!$F$44,IF($C46&lt;wsk!$F$44,($C47-wsk!$F$44)*wsk!$F$9,0),$B47*wsk!$F$9)</f>
        <v>325</v>
      </c>
      <c r="G47" s="54">
        <f>ROUND(B47*wsk!$F$10,2)</f>
        <v>122.5</v>
      </c>
      <c r="H47" s="54">
        <f t="shared" si="10"/>
        <v>935.5</v>
      </c>
      <c r="I47" s="48">
        <f>ROUND(SUM($B$38:B47)-SUM($D$38:D47)-SUM($H$38:H47),)</f>
        <v>39623</v>
      </c>
      <c r="J47" s="53">
        <f t="shared" si="11"/>
        <v>3962</v>
      </c>
      <c r="K47" s="54">
        <f>ROUND((B47-H47)*wsk!$F$11,2)</f>
        <v>315</v>
      </c>
      <c r="L47" s="54">
        <f>ROUND((B47-H47)*wsk!$F$12,2)</f>
        <v>40.65</v>
      </c>
      <c r="M47" s="54">
        <f t="shared" si="12"/>
        <v>355.65</v>
      </c>
      <c r="N47" s="54">
        <f t="shared" si="18"/>
        <v>44.17</v>
      </c>
      <c r="O47" s="54">
        <f>ROUND(IF(I47&gt;skala!$D$3,IF(I47&gt;skala!$D$8,IF(I46&lt;skala!$D$8,(skala!$D$8-I46)*0.3+(I47-skala!$D$8)*0.4,J47*0.4),IF(I46&lt;skala!$D$3,(skala!$D$3-I46)*0.19+(I47-skala!$D$3)*0.3,J47*0.3)),J47*0.19)-K47-N47,2)</f>
        <v>679.69</v>
      </c>
      <c r="P47" s="53">
        <f t="shared" si="13"/>
        <v>3029.16</v>
      </c>
      <c r="Q47" s="54">
        <f>IF($C47&gt;wsk!$D$44,IF($C46&lt;wsk!$D$44,($C47-wsk!$D$44)*0.0976,0),$B47*0.0976)</f>
        <v>488.00000000000006</v>
      </c>
      <c r="R47" s="54">
        <f>IF($C47&gt;wsk!$F$44,IF($C46&lt;wsk!$F$44,($C47-wsk!$F$44)*wsk!$F$17,0),$B47*wsk!$F$17)</f>
        <v>325</v>
      </c>
      <c r="S47" s="54">
        <f>ROUND(B47*wsk!$F$18,2)</f>
        <v>96.5</v>
      </c>
      <c r="T47" s="54">
        <f>ROUND(B47*wsk!$F$19,2)</f>
        <v>7.5</v>
      </c>
      <c r="U47" s="54">
        <f>ROUND(B47*wsk!$F$20,2)</f>
        <v>122.5</v>
      </c>
      <c r="V47" s="53">
        <f t="shared" si="14"/>
        <v>1039.5</v>
      </c>
      <c r="W47" s="53">
        <f t="shared" si="15"/>
        <v>6039.5</v>
      </c>
    </row>
    <row r="48" spans="1:23" ht="12.75">
      <c r="A48" s="47" t="s">
        <v>83</v>
      </c>
      <c r="B48" s="48">
        <f t="shared" si="16"/>
        <v>5000</v>
      </c>
      <c r="C48" s="48">
        <f>SUM($B$38:B48)</f>
        <v>55000</v>
      </c>
      <c r="D48" s="49">
        <f t="shared" si="17"/>
        <v>102.25</v>
      </c>
      <c r="E48" s="49">
        <f>IF($C48&gt;wsk!$F$44,IF($C47&lt;wsk!$F$44,($C48-wsk!$F$44)*wsk!$F$8,0),$B48*wsk!$F$8)</f>
        <v>488.00000000000006</v>
      </c>
      <c r="F48" s="49">
        <f>IF($C48&gt;wsk!$F$44,IF($C47&lt;wsk!$F$44,($C48-wsk!$F$44)*wsk!$F$9,0),$B48*wsk!$F$9)</f>
        <v>325</v>
      </c>
      <c r="G48" s="49">
        <f>ROUND(B48*wsk!$F$10,2)</f>
        <v>122.5</v>
      </c>
      <c r="H48" s="49">
        <f t="shared" si="10"/>
        <v>935.5</v>
      </c>
      <c r="I48" s="48">
        <f>ROUND(SUM($B$38:B48)-SUM($D$38:D48)-SUM($H$38:H48),)</f>
        <v>43585</v>
      </c>
      <c r="J48" s="48">
        <f t="shared" si="11"/>
        <v>3962</v>
      </c>
      <c r="K48" s="49">
        <f>ROUND((B48-H48)*wsk!$F$11,2)</f>
        <v>315</v>
      </c>
      <c r="L48" s="49">
        <f>ROUND((B48-H48)*wsk!$F$12,2)</f>
        <v>40.65</v>
      </c>
      <c r="M48" s="49">
        <f t="shared" si="12"/>
        <v>355.65</v>
      </c>
      <c r="N48" s="49">
        <f t="shared" si="18"/>
        <v>44.17</v>
      </c>
      <c r="O48" s="49">
        <f>ROUND(IF(I48&gt;skala!$D$3,IF(I48&gt;skala!$D$8,IF(I47&lt;skala!$D$8,(skala!$D$8-I47)*0.3+(I48-skala!$D$8)*0.4,J48*0.4),IF(I47&lt;skala!$D$3,(skala!$D$3-I47)*0.19+(I48-skala!$D$3)*0.3,J48*0.3)),J48*0.19)-K48-N48,2)</f>
        <v>829.43</v>
      </c>
      <c r="P48" s="48">
        <f t="shared" si="13"/>
        <v>2879.42</v>
      </c>
      <c r="Q48" s="49">
        <f>IF($C48&gt;wsk!$D$44,IF($C47&lt;wsk!$D$44,($C48-wsk!$D$44)*0.0976,0),$B48*0.0976)</f>
        <v>488.00000000000006</v>
      </c>
      <c r="R48" s="49">
        <f>IF($C48&gt;wsk!$F$44,IF($C47&lt;wsk!$F$44,($C48-wsk!$F$44)*wsk!$F$17,0),$B48*wsk!$F$17)</f>
        <v>325</v>
      </c>
      <c r="S48" s="49">
        <f>ROUND(B48*wsk!$F$18,2)</f>
        <v>96.5</v>
      </c>
      <c r="T48" s="49">
        <f>ROUND(B48*wsk!$F$19,2)</f>
        <v>7.5</v>
      </c>
      <c r="U48" s="49">
        <f>ROUND(B48*wsk!$F$20,2)</f>
        <v>122.5</v>
      </c>
      <c r="V48" s="48">
        <f t="shared" si="14"/>
        <v>1039.5</v>
      </c>
      <c r="W48" s="48">
        <f t="shared" si="15"/>
        <v>6039.5</v>
      </c>
    </row>
    <row r="49" spans="1:23" ht="13.5" thickBot="1">
      <c r="A49" s="55" t="s">
        <v>84</v>
      </c>
      <c r="B49" s="56">
        <f t="shared" si="16"/>
        <v>5000</v>
      </c>
      <c r="C49" s="48">
        <f>SUM($B$38:B49)</f>
        <v>60000</v>
      </c>
      <c r="D49" s="57">
        <f t="shared" si="17"/>
        <v>102.25</v>
      </c>
      <c r="E49" s="57">
        <f>IF($C49&gt;wsk!$F$44,IF($C48&lt;wsk!$F$44,($C49-wsk!$F$44)*wsk!$F$8,0),$B49*wsk!$F$8)</f>
        <v>488.00000000000006</v>
      </c>
      <c r="F49" s="57">
        <f>IF($C49&gt;wsk!$F$44,IF($C48&lt;wsk!$F$44,($C49-wsk!$F$44)*wsk!$F$9,0),$B49*wsk!$F$9)</f>
        <v>325</v>
      </c>
      <c r="G49" s="57">
        <f>ROUND(B49*wsk!$F$10,2)</f>
        <v>122.5</v>
      </c>
      <c r="H49" s="57">
        <f t="shared" si="10"/>
        <v>935.5</v>
      </c>
      <c r="I49" s="48">
        <f>ROUND(SUM($B$38:B49)-SUM($D$38:D49)-SUM($H$38:H49),)</f>
        <v>47547</v>
      </c>
      <c r="J49" s="56">
        <f t="shared" si="11"/>
        <v>3962</v>
      </c>
      <c r="K49" s="57">
        <f>ROUND((B49-H49)*wsk!$F$11,2)</f>
        <v>315</v>
      </c>
      <c r="L49" s="57">
        <f>ROUND((B49-H49)*wsk!$F$12,2)</f>
        <v>40.65</v>
      </c>
      <c r="M49" s="57">
        <f t="shared" si="12"/>
        <v>355.65</v>
      </c>
      <c r="N49" s="57">
        <f t="shared" si="18"/>
        <v>44.17</v>
      </c>
      <c r="O49" s="57">
        <f>ROUND(IF(I49&gt;skala!$D$3,IF(I49&gt;skala!$D$8,IF(I48&lt;skala!$D$8,(skala!$D$8-I48)*0.3+(I49-skala!$D$8)*0.4,J49*0.4),IF(I48&lt;skala!$D$3,(skala!$D$3-I48)*0.19+(I49-skala!$D$3)*0.3,J49*0.3)),J49*0.19)-K49-N49,2)</f>
        <v>829.43</v>
      </c>
      <c r="P49" s="56">
        <f t="shared" si="13"/>
        <v>2879.42</v>
      </c>
      <c r="Q49" s="57">
        <f>IF($C49&gt;wsk!$D$44,IF($C48&lt;wsk!$D$44,($C49-wsk!$D$44)*0.0976,0),$B49*0.0976)</f>
        <v>488.00000000000006</v>
      </c>
      <c r="R49" s="57">
        <f>IF($C49&gt;wsk!$F$44,IF($C48&lt;wsk!$F$44,($C49-wsk!$F$44)*wsk!$F$17,0),$B49*wsk!$F$17)</f>
        <v>325</v>
      </c>
      <c r="S49" s="57">
        <f>ROUND(B49*wsk!$F$18,2)</f>
        <v>96.5</v>
      </c>
      <c r="T49" s="57">
        <f>ROUND(B49*wsk!$F$19,2)</f>
        <v>7.5</v>
      </c>
      <c r="U49" s="57">
        <f>ROUND(B49*wsk!$F$20,2)</f>
        <v>122.5</v>
      </c>
      <c r="V49" s="56">
        <f t="shared" si="14"/>
        <v>1039.5</v>
      </c>
      <c r="W49" s="56">
        <f t="shared" si="15"/>
        <v>6039.5</v>
      </c>
    </row>
    <row r="50" spans="1:23" ht="13.5" thickBot="1">
      <c r="A50" s="60" t="s">
        <v>85</v>
      </c>
      <c r="B50" s="58">
        <f>SUM(B38:B49)</f>
        <v>60000</v>
      </c>
      <c r="C50" s="58">
        <f>C49</f>
        <v>60000</v>
      </c>
      <c r="D50" s="58">
        <f>SUM(D38:D49)</f>
        <v>1227</v>
      </c>
      <c r="E50" s="58">
        <f>SUM(E38:E49)</f>
        <v>5856.000000000001</v>
      </c>
      <c r="F50" s="58">
        <f>SUM(F38:F49)</f>
        <v>3900</v>
      </c>
      <c r="G50" s="58">
        <f>SUM(G38:G49)</f>
        <v>1470</v>
      </c>
      <c r="H50" s="58">
        <f>SUM(H38:H49)</f>
        <v>11226</v>
      </c>
      <c r="I50" s="58">
        <f>I49</f>
        <v>47547</v>
      </c>
      <c r="J50" s="58">
        <f aca="true" t="shared" si="19" ref="J50:W50">SUM(J38:J49)</f>
        <v>47544</v>
      </c>
      <c r="K50" s="58">
        <f t="shared" si="19"/>
        <v>3780</v>
      </c>
      <c r="L50" s="58">
        <f t="shared" si="19"/>
        <v>487.7999999999999</v>
      </c>
      <c r="M50" s="58">
        <f t="shared" si="19"/>
        <v>4267.8</v>
      </c>
      <c r="N50" s="58">
        <f t="shared" si="19"/>
        <v>530.0400000000001</v>
      </c>
      <c r="O50" s="58">
        <f t="shared" si="19"/>
        <v>5881.040000000001</v>
      </c>
      <c r="P50" s="58">
        <f t="shared" si="19"/>
        <v>38625.15999999999</v>
      </c>
      <c r="Q50" s="58">
        <f t="shared" si="19"/>
        <v>5856.000000000001</v>
      </c>
      <c r="R50" s="58">
        <f t="shared" si="19"/>
        <v>3900</v>
      </c>
      <c r="S50" s="58">
        <f t="shared" si="19"/>
        <v>1158</v>
      </c>
      <c r="T50" s="58">
        <f t="shared" si="19"/>
        <v>90</v>
      </c>
      <c r="U50" s="58">
        <f t="shared" si="19"/>
        <v>1470</v>
      </c>
      <c r="V50" s="58">
        <f t="shared" si="19"/>
        <v>12474</v>
      </c>
      <c r="W50" s="58">
        <f t="shared" si="19"/>
        <v>72474</v>
      </c>
    </row>
    <row r="52" spans="1:23" ht="63.75">
      <c r="A52" s="45"/>
      <c r="B52" s="46" t="s">
        <v>64</v>
      </c>
      <c r="C52" s="46" t="s">
        <v>89</v>
      </c>
      <c r="D52" s="46" t="s">
        <v>65</v>
      </c>
      <c r="E52" s="46" t="s">
        <v>15</v>
      </c>
      <c r="F52" s="46" t="s">
        <v>16</v>
      </c>
      <c r="G52" s="46" t="s">
        <v>17</v>
      </c>
      <c r="H52" s="46" t="s">
        <v>66</v>
      </c>
      <c r="I52" s="46" t="s">
        <v>88</v>
      </c>
      <c r="J52" s="46" t="s">
        <v>67</v>
      </c>
      <c r="K52" s="46" t="s">
        <v>111</v>
      </c>
      <c r="L52" s="46" t="s">
        <v>112</v>
      </c>
      <c r="M52" s="46" t="s">
        <v>69</v>
      </c>
      <c r="N52" s="46" t="s">
        <v>23</v>
      </c>
      <c r="O52" s="46" t="s">
        <v>68</v>
      </c>
      <c r="P52" s="46" t="s">
        <v>70</v>
      </c>
      <c r="Q52" s="46" t="s">
        <v>15</v>
      </c>
      <c r="R52" s="46" t="s">
        <v>16</v>
      </c>
      <c r="S52" s="46" t="s">
        <v>54</v>
      </c>
      <c r="T52" s="46" t="s">
        <v>86</v>
      </c>
      <c r="U52" s="46" t="s">
        <v>87</v>
      </c>
      <c r="V52" s="46" t="s">
        <v>71</v>
      </c>
      <c r="W52" s="46" t="s">
        <v>72</v>
      </c>
    </row>
    <row r="53" spans="1:23" ht="12.75">
      <c r="A53" s="47" t="s">
        <v>73</v>
      </c>
      <c r="B53" s="87">
        <f>tabela!H7</f>
        <v>8000</v>
      </c>
      <c r="C53" s="48">
        <f>SUM($B$53:B53)</f>
        <v>8000</v>
      </c>
      <c r="D53" s="49">
        <f>y!$R$9</f>
        <v>102.25</v>
      </c>
      <c r="E53" s="88">
        <f>IF($C53&gt;wsk!$F$44,IF($C52&lt;wsk!$F$44,($C53-wsk!$F$44)*wsk!$F$8,0),$B53*wsk!$F$8)</f>
        <v>780.8000000000001</v>
      </c>
      <c r="F53" s="88">
        <f>IF($C53&gt;wsk!$F$44,IF($C52&lt;wsk!$F$44,($C53-wsk!$F$44)*wsk!$F$9,0),$B53*wsk!$F$9)</f>
        <v>520</v>
      </c>
      <c r="G53" s="88">
        <f>ROUND(B53*wsk!$F$10,2)</f>
        <v>196</v>
      </c>
      <c r="H53" s="49">
        <f aca="true" t="shared" si="20" ref="H53:H64">SUM(E53:G53)</f>
        <v>1496.8000000000002</v>
      </c>
      <c r="I53" s="48">
        <f>ROUND(SUM($B$53:B53)-SUM($D$53:D53)-SUM($H$53:H53),)</f>
        <v>6401</v>
      </c>
      <c r="J53" s="48">
        <f aca="true" t="shared" si="21" ref="J53:J64">ROUND(SUM(B53,-D53,-H53),0)</f>
        <v>6401</v>
      </c>
      <c r="K53" s="88">
        <f>ROUND((B53-H53)*wsk!$F$11,2)</f>
        <v>504</v>
      </c>
      <c r="L53" s="88">
        <f>ROUND((B53-H53)*wsk!$F$12,2)</f>
        <v>65.03</v>
      </c>
      <c r="M53" s="49">
        <f aca="true" t="shared" si="22" ref="M53:M64">SUM(K53:L53)</f>
        <v>569.03</v>
      </c>
      <c r="N53" s="88">
        <f>N5</f>
        <v>44.17</v>
      </c>
      <c r="O53" s="49">
        <f>ROUND(IF(I53&gt;skala!$F$3,IF(I53&gt;skala!$F$8,IF(I52&lt;skala!$F$8,(skala!$F$8-I52)*0.3+(I53-skala!$F$8)*0.4,J53*0.4),IF(I52&lt;skala!$F$3,(skala!$F$3-I52)*0.19+(I53-skala!$F$3)*0.3,J53*0.3)),J53*0.19)-K53-N53,2)</f>
        <v>668.02</v>
      </c>
      <c r="P53" s="48">
        <f aca="true" t="shared" si="23" ref="P53:P64">SUM(B53,-H53,-M53,-O53)</f>
        <v>5266.15</v>
      </c>
      <c r="Q53" s="88">
        <f>IF($C53&gt;wsk!$F$44,IF($C52&lt;wsk!$F$44,($C53-wsk!$F$44)*wsk!$F$16,0),$B53*wsk!$F$16)</f>
        <v>780.8000000000001</v>
      </c>
      <c r="R53" s="88">
        <f>IF($C53&gt;wsk!$F$44,IF($C52&lt;wsk!$F$44,($C53-wsk!$F$44)*wsk!$F$17,0),$B53*wsk!$F$17)</f>
        <v>520</v>
      </c>
      <c r="S53" s="88">
        <f>ROUND(B53*wsk!$F$18,2)</f>
        <v>154.4</v>
      </c>
      <c r="T53" s="88">
        <f>ROUND(B53*wsk!$F$19,2)</f>
        <v>12</v>
      </c>
      <c r="U53" s="88">
        <f>ROUND(B53*wsk!$F$20,2)</f>
        <v>196</v>
      </c>
      <c r="V53" s="48">
        <f aca="true" t="shared" si="24" ref="V53:V64">SUM(Q53:U53)</f>
        <v>1663.2000000000003</v>
      </c>
      <c r="W53" s="48">
        <f aca="true" t="shared" si="25" ref="W53:W64">SUM(B53,V53)</f>
        <v>9663.2</v>
      </c>
    </row>
    <row r="54" spans="1:23" ht="12.75">
      <c r="A54" s="52" t="s">
        <v>74</v>
      </c>
      <c r="B54" s="53">
        <f aca="true" t="shared" si="26" ref="B54:B64">B53</f>
        <v>8000</v>
      </c>
      <c r="C54" s="48">
        <f>SUM($B$53:B54)</f>
        <v>16000</v>
      </c>
      <c r="D54" s="54">
        <f aca="true" t="shared" si="27" ref="D54:D64">D53</f>
        <v>102.25</v>
      </c>
      <c r="E54" s="54">
        <f>IF($C54&gt;wsk!$F$44,IF($C53&lt;wsk!$F$44,($C54-wsk!$F$44)*wsk!$F$8,0),$B54*wsk!$F$8)</f>
        <v>780.8000000000001</v>
      </c>
      <c r="F54" s="54">
        <f>IF($C54&gt;wsk!$F$44,IF($C53&lt;wsk!$F$44,($C54-wsk!$F$44)*wsk!$F$9,0),$B54*wsk!$F$9)</f>
        <v>520</v>
      </c>
      <c r="G54" s="54">
        <f>ROUND(B54*wsk!$F$10,2)</f>
        <v>196</v>
      </c>
      <c r="H54" s="54">
        <f t="shared" si="20"/>
        <v>1496.8000000000002</v>
      </c>
      <c r="I54" s="48">
        <f>ROUND(SUM($B$53:B54)-SUM($D$53:D54)-SUM($H$53:H54),)</f>
        <v>12802</v>
      </c>
      <c r="J54" s="53">
        <f t="shared" si="21"/>
        <v>6401</v>
      </c>
      <c r="K54" s="54">
        <f>ROUND((B54-H54)*wsk!$F$11,2)</f>
        <v>504</v>
      </c>
      <c r="L54" s="54">
        <f>ROUND((B54-H54)*wsk!$F$12,2)</f>
        <v>65.03</v>
      </c>
      <c r="M54" s="54">
        <f t="shared" si="22"/>
        <v>569.03</v>
      </c>
      <c r="N54" s="54">
        <f aca="true" t="shared" si="28" ref="N54:N64">N53</f>
        <v>44.17</v>
      </c>
      <c r="O54" s="54">
        <f>ROUND(IF(I54&gt;skala!$D$3,IF(I54&gt;skala!$D$8,IF(I53&lt;skala!$D$8,(skala!$D$8-I53)*0.3+(I54-skala!$D$8)*0.4,J54*0.4),IF(I53&lt;skala!$D$3,(skala!$D$3-I53)*0.19+(I54-skala!$D$3)*0.3,J54*0.3)),J54*0.19)-K54-N54,2)</f>
        <v>668.02</v>
      </c>
      <c r="P54" s="53">
        <f t="shared" si="23"/>
        <v>5266.15</v>
      </c>
      <c r="Q54" s="54">
        <f>IF($C54&gt;wsk!$D$44,IF($C53&lt;wsk!$D$44,($C54-wsk!$D$44)*0.0976,0),$B54*0.0976)</f>
        <v>780.8000000000001</v>
      </c>
      <c r="R54" s="54">
        <f>IF($C54&gt;wsk!$F$44,IF($C53&lt;wsk!$F$44,($C54-wsk!$F$44)*wsk!$F$17,0),$B54*wsk!$F$17)</f>
        <v>520</v>
      </c>
      <c r="S54" s="54">
        <f>ROUND(B54*wsk!$F$18,2)</f>
        <v>154.4</v>
      </c>
      <c r="T54" s="54">
        <f>ROUND(B54*wsk!$F$19,2)</f>
        <v>12</v>
      </c>
      <c r="U54" s="54">
        <f>ROUND(B54*wsk!$F$20,2)</f>
        <v>196</v>
      </c>
      <c r="V54" s="53">
        <f t="shared" si="24"/>
        <v>1663.2000000000003</v>
      </c>
      <c r="W54" s="53">
        <f t="shared" si="25"/>
        <v>9663.2</v>
      </c>
    </row>
    <row r="55" spans="1:23" ht="12.75">
      <c r="A55" s="47" t="s">
        <v>75</v>
      </c>
      <c r="B55" s="48">
        <f t="shared" si="26"/>
        <v>8000</v>
      </c>
      <c r="C55" s="48">
        <f>SUM($B$53:B55)</f>
        <v>24000</v>
      </c>
      <c r="D55" s="49">
        <f t="shared" si="27"/>
        <v>102.25</v>
      </c>
      <c r="E55" s="49">
        <f>IF($C55&gt;wsk!$F$44,IF($C54&lt;wsk!$F$44,($C55-wsk!$F$44)*wsk!$F$8,0),$B55*wsk!$F$8)</f>
        <v>780.8000000000001</v>
      </c>
      <c r="F55" s="49">
        <f>IF($C55&gt;wsk!$F$44,IF($C54&lt;wsk!$F$44,($C55-wsk!$F$44)*wsk!$F$9,0),$B55*wsk!$F$9)</f>
        <v>520</v>
      </c>
      <c r="G55" s="49">
        <f>ROUND(B55*wsk!$F$10,2)</f>
        <v>196</v>
      </c>
      <c r="H55" s="49">
        <f t="shared" si="20"/>
        <v>1496.8000000000002</v>
      </c>
      <c r="I55" s="48">
        <f>ROUND(SUM($B$53:B55)-SUM($D$53:D55)-SUM($H$53:H55),)</f>
        <v>19203</v>
      </c>
      <c r="J55" s="48">
        <f t="shared" si="21"/>
        <v>6401</v>
      </c>
      <c r="K55" s="49">
        <f>ROUND((B55-H55)*wsk!$F$11,2)</f>
        <v>504</v>
      </c>
      <c r="L55" s="49">
        <f>ROUND((B55-H55)*wsk!$F$12,2)</f>
        <v>65.03</v>
      </c>
      <c r="M55" s="49">
        <f t="shared" si="22"/>
        <v>569.03</v>
      </c>
      <c r="N55" s="49">
        <f t="shared" si="28"/>
        <v>44.17</v>
      </c>
      <c r="O55" s="49">
        <f>ROUND(IF(I55&gt;skala!$D$3,IF(I55&gt;skala!$D$8,IF(I54&lt;skala!$D$8,(skala!$D$8-I54)*0.3+(I55-skala!$D$8)*0.4,J55*0.4),IF(I54&lt;skala!$D$3,(skala!$D$3-I54)*0.19+(I55-skala!$D$3)*0.3,J55*0.3)),J55*0.19)-K55-N55,2)</f>
        <v>668.02</v>
      </c>
      <c r="P55" s="48">
        <f t="shared" si="23"/>
        <v>5266.15</v>
      </c>
      <c r="Q55" s="49">
        <f>IF($C55&gt;wsk!$D$44,IF($C54&lt;wsk!$D$44,($C55-wsk!$D$44)*0.0976,0),$B55*0.0976)</f>
        <v>780.8000000000001</v>
      </c>
      <c r="R55" s="49">
        <f>IF($C55&gt;wsk!$F$44,IF($C54&lt;wsk!$F$44,($C55-wsk!$F$44)*wsk!$F$17,0),$B55*wsk!$F$17)</f>
        <v>520</v>
      </c>
      <c r="S55" s="49">
        <f>ROUND(B55*wsk!$F$18,2)</f>
        <v>154.4</v>
      </c>
      <c r="T55" s="49">
        <f>ROUND(B55*wsk!$F$19,2)</f>
        <v>12</v>
      </c>
      <c r="U55" s="49">
        <f>ROUND(B55*wsk!$F$20,2)</f>
        <v>196</v>
      </c>
      <c r="V55" s="48">
        <f t="shared" si="24"/>
        <v>1663.2000000000003</v>
      </c>
      <c r="W55" s="48">
        <f t="shared" si="25"/>
        <v>9663.2</v>
      </c>
    </row>
    <row r="56" spans="1:23" ht="12.75">
      <c r="A56" s="52" t="s">
        <v>76</v>
      </c>
      <c r="B56" s="53">
        <f t="shared" si="26"/>
        <v>8000</v>
      </c>
      <c r="C56" s="48">
        <f>SUM($B$53:B56)</f>
        <v>32000</v>
      </c>
      <c r="D56" s="54">
        <f t="shared" si="27"/>
        <v>102.25</v>
      </c>
      <c r="E56" s="54">
        <f>IF($C56&gt;wsk!$F$44,IF($C55&lt;wsk!$F$44,($C56-wsk!$F$44)*wsk!$F$8,0),$B56*wsk!$F$8)</f>
        <v>780.8000000000001</v>
      </c>
      <c r="F56" s="54">
        <f>IF($C56&gt;wsk!$F$44,IF($C55&lt;wsk!$F$44,($C56-wsk!$F$44)*wsk!$F$9,0),$B56*wsk!$F$9)</f>
        <v>520</v>
      </c>
      <c r="G56" s="54">
        <f>ROUND(B56*wsk!$F$10,2)</f>
        <v>196</v>
      </c>
      <c r="H56" s="54">
        <f t="shared" si="20"/>
        <v>1496.8000000000002</v>
      </c>
      <c r="I56" s="48">
        <f>ROUND(SUM($B$53:B56)-SUM($D$53:D56)-SUM($H$53:H56),)</f>
        <v>25604</v>
      </c>
      <c r="J56" s="53">
        <f t="shared" si="21"/>
        <v>6401</v>
      </c>
      <c r="K56" s="54">
        <f>ROUND((B56-H56)*wsk!$F$11,2)</f>
        <v>504</v>
      </c>
      <c r="L56" s="54">
        <f>ROUND((B56-H56)*wsk!$F$12,2)</f>
        <v>65.03</v>
      </c>
      <c r="M56" s="54">
        <f t="shared" si="22"/>
        <v>569.03</v>
      </c>
      <c r="N56" s="54">
        <f t="shared" si="28"/>
        <v>44.17</v>
      </c>
      <c r="O56" s="54">
        <f>ROUND(IF(I56&gt;skala!$D$3,IF(I56&gt;skala!$D$8,IF(I55&lt;skala!$D$8,(skala!$D$8-I55)*0.3+(I56-skala!$D$8)*0.4,J56*0.4),IF(I55&lt;skala!$D$3,(skala!$D$3-I55)*0.19+(I56-skala!$D$3)*0.3,J56*0.3)),J56*0.19)-K56-N56,2)</f>
        <v>668.02</v>
      </c>
      <c r="P56" s="53">
        <f t="shared" si="23"/>
        <v>5266.15</v>
      </c>
      <c r="Q56" s="54">
        <f>IF($C56&gt;wsk!$D$44,IF($C55&lt;wsk!$D$44,($C56-wsk!$D$44)*0.0976,0),$B56*0.0976)</f>
        <v>780.8000000000001</v>
      </c>
      <c r="R56" s="54">
        <f>IF($C56&gt;wsk!$F$44,IF($C55&lt;wsk!$F$44,($C56-wsk!$F$44)*wsk!$F$17,0),$B56*wsk!$F$17)</f>
        <v>520</v>
      </c>
      <c r="S56" s="54">
        <f>ROUND(B56*wsk!$F$18,2)</f>
        <v>154.4</v>
      </c>
      <c r="T56" s="54">
        <f>ROUND(B56*wsk!$F$19,2)</f>
        <v>12</v>
      </c>
      <c r="U56" s="54">
        <f>ROUND(B56*wsk!$F$20,2)</f>
        <v>196</v>
      </c>
      <c r="V56" s="53">
        <f t="shared" si="24"/>
        <v>1663.2000000000003</v>
      </c>
      <c r="W56" s="53">
        <f t="shared" si="25"/>
        <v>9663.2</v>
      </c>
    </row>
    <row r="57" spans="1:23" ht="12.75">
      <c r="A57" s="47" t="s">
        <v>77</v>
      </c>
      <c r="B57" s="48">
        <f t="shared" si="26"/>
        <v>8000</v>
      </c>
      <c r="C57" s="48">
        <f>SUM($B$53:B57)</f>
        <v>40000</v>
      </c>
      <c r="D57" s="49">
        <f t="shared" si="27"/>
        <v>102.25</v>
      </c>
      <c r="E57" s="49">
        <f>IF($C57&gt;wsk!$F$44,IF($C56&lt;wsk!$F$44,($C57-wsk!$F$44)*wsk!$F$8,0),$B57*wsk!$F$8)</f>
        <v>780.8000000000001</v>
      </c>
      <c r="F57" s="49">
        <f>IF($C57&gt;wsk!$F$44,IF($C56&lt;wsk!$F$44,($C57-wsk!$F$44)*wsk!$F$9,0),$B57*wsk!$F$9)</f>
        <v>520</v>
      </c>
      <c r="G57" s="49">
        <f>ROUND(B57*wsk!$F$10,2)</f>
        <v>196</v>
      </c>
      <c r="H57" s="49">
        <f t="shared" si="20"/>
        <v>1496.8000000000002</v>
      </c>
      <c r="I57" s="48">
        <f>ROUND(SUM($B$53:B57)-SUM($D$53:D57)-SUM($H$53:H57),)</f>
        <v>32005</v>
      </c>
      <c r="J57" s="48">
        <f t="shared" si="21"/>
        <v>6401</v>
      </c>
      <c r="K57" s="49">
        <f>ROUND((B57-H57)*wsk!$F$11,2)</f>
        <v>504</v>
      </c>
      <c r="L57" s="49">
        <f>ROUND((B57-H57)*wsk!$F$12,2)</f>
        <v>65.03</v>
      </c>
      <c r="M57" s="49">
        <f t="shared" si="22"/>
        <v>569.03</v>
      </c>
      <c r="N57" s="49">
        <f t="shared" si="28"/>
        <v>44.17</v>
      </c>
      <c r="O57" s="49">
        <f>ROUND(IF(I57&gt;skala!$D$3,IF(I57&gt;skala!$D$8,IF(I56&lt;skala!$D$8,(skala!$D$8-I56)*0.3+(I57-skala!$D$8)*0.4,J57*0.4),IF(I56&lt;skala!$D$3,(skala!$D$3-I56)*0.19+(I57-skala!$D$3)*0.3,J57*0.3)),J57*0.19)-K57-N57,2)</f>
        <v>668.02</v>
      </c>
      <c r="P57" s="48">
        <f t="shared" si="23"/>
        <v>5266.15</v>
      </c>
      <c r="Q57" s="49">
        <f>IF($C57&gt;wsk!$D$44,IF($C56&lt;wsk!$D$44,($C57-wsk!$D$44)*0.0976,0),$B57*0.0976)</f>
        <v>780.8000000000001</v>
      </c>
      <c r="R57" s="49">
        <f>IF($C57&gt;wsk!$F$44,IF($C56&lt;wsk!$F$44,($C57-wsk!$F$44)*wsk!$F$17,0),$B57*wsk!$F$17)</f>
        <v>520</v>
      </c>
      <c r="S57" s="49">
        <f>ROUND(B57*wsk!$F$18,2)</f>
        <v>154.4</v>
      </c>
      <c r="T57" s="49">
        <f>ROUND(B57*wsk!$F$19,2)</f>
        <v>12</v>
      </c>
      <c r="U57" s="49">
        <f>ROUND(B57*wsk!$F$20,2)</f>
        <v>196</v>
      </c>
      <c r="V57" s="48">
        <f t="shared" si="24"/>
        <v>1663.2000000000003</v>
      </c>
      <c r="W57" s="48">
        <f t="shared" si="25"/>
        <v>9663.2</v>
      </c>
    </row>
    <row r="58" spans="1:23" ht="12.75">
      <c r="A58" s="52" t="s">
        <v>78</v>
      </c>
      <c r="B58" s="53">
        <f t="shared" si="26"/>
        <v>8000</v>
      </c>
      <c r="C58" s="48">
        <f>SUM($B$53:B58)</f>
        <v>48000</v>
      </c>
      <c r="D58" s="54">
        <f t="shared" si="27"/>
        <v>102.25</v>
      </c>
      <c r="E58" s="54">
        <f>IF($C58&gt;wsk!$F$44,IF($C57&lt;wsk!$F$44,($C58-wsk!$F$44)*wsk!$F$8,0),$B58*wsk!$F$8)</f>
        <v>780.8000000000001</v>
      </c>
      <c r="F58" s="54">
        <f>IF($C58&gt;wsk!$F$44,IF($C57&lt;wsk!$F$44,($C58-wsk!$F$44)*wsk!$F$9,0),$B58*wsk!$F$9)</f>
        <v>520</v>
      </c>
      <c r="G58" s="54">
        <f>ROUND(B58*wsk!$F$10,2)</f>
        <v>196</v>
      </c>
      <c r="H58" s="54">
        <f t="shared" si="20"/>
        <v>1496.8000000000002</v>
      </c>
      <c r="I58" s="48">
        <f>ROUND(SUM($B$53:B58)-SUM($D$53:D58)-SUM($H$53:H58),)</f>
        <v>38406</v>
      </c>
      <c r="J58" s="53">
        <f t="shared" si="21"/>
        <v>6401</v>
      </c>
      <c r="K58" s="54">
        <f>ROUND((B58-H58)*wsk!$F$11,2)</f>
        <v>504</v>
      </c>
      <c r="L58" s="54">
        <f>ROUND((B58-H58)*wsk!$F$12,2)</f>
        <v>65.03</v>
      </c>
      <c r="M58" s="54">
        <f t="shared" si="22"/>
        <v>569.03</v>
      </c>
      <c r="N58" s="54">
        <f t="shared" si="28"/>
        <v>44.17</v>
      </c>
      <c r="O58" s="54">
        <f>ROUND(IF(I58&gt;skala!$D$3,IF(I58&gt;skala!$D$8,IF(I57&lt;skala!$D$8,(skala!$D$8-I57)*0.3+(I58-skala!$D$8)*0.4,J58*0.4),IF(I57&lt;skala!$D$3,(skala!$D$3-I57)*0.19+(I58-skala!$D$3)*0.3,J58*0.3)),J58*0.19)-K58-N58,2)</f>
        <v>820.04</v>
      </c>
      <c r="P58" s="53">
        <f t="shared" si="23"/>
        <v>5114.13</v>
      </c>
      <c r="Q58" s="54">
        <f>IF($C58&gt;wsk!$D$44,IF($C57&lt;wsk!$D$44,($C58-wsk!$D$44)*0.0976,0),$B58*0.0976)</f>
        <v>780.8000000000001</v>
      </c>
      <c r="R58" s="54">
        <f>IF($C58&gt;wsk!$F$44,IF($C57&lt;wsk!$F$44,($C58-wsk!$F$44)*wsk!$F$17,0),$B58*wsk!$F$17)</f>
        <v>520</v>
      </c>
      <c r="S58" s="54">
        <f>ROUND(B58*wsk!$F$18,2)</f>
        <v>154.4</v>
      </c>
      <c r="T58" s="54">
        <f>ROUND(B58*wsk!$F$19,2)</f>
        <v>12</v>
      </c>
      <c r="U58" s="54">
        <f>ROUND(B58*wsk!$F$20,2)</f>
        <v>196</v>
      </c>
      <c r="V58" s="53">
        <f t="shared" si="24"/>
        <v>1663.2000000000003</v>
      </c>
      <c r="W58" s="53">
        <f t="shared" si="25"/>
        <v>9663.2</v>
      </c>
    </row>
    <row r="59" spans="1:23" ht="12.75">
      <c r="A59" s="47" t="s">
        <v>79</v>
      </c>
      <c r="B59" s="48">
        <f t="shared" si="26"/>
        <v>8000</v>
      </c>
      <c r="C59" s="48">
        <f>SUM($B$53:B59)</f>
        <v>56000</v>
      </c>
      <c r="D59" s="49">
        <f t="shared" si="27"/>
        <v>102.25</v>
      </c>
      <c r="E59" s="49">
        <f>IF($C59&gt;wsk!$F$44,IF($C58&lt;wsk!$F$44,($C59-wsk!$F$44)*wsk!$F$8,0),$B59*wsk!$F$8)</f>
        <v>780.8000000000001</v>
      </c>
      <c r="F59" s="49">
        <f>IF($C59&gt;wsk!$F$44,IF($C58&lt;wsk!$F$44,($C59-wsk!$F$44)*wsk!$F$9,0),$B59*wsk!$F$9)</f>
        <v>520</v>
      </c>
      <c r="G59" s="49">
        <f>ROUND(B59*wsk!$F$10,2)</f>
        <v>196</v>
      </c>
      <c r="H59" s="49">
        <f t="shared" si="20"/>
        <v>1496.8000000000002</v>
      </c>
      <c r="I59" s="48">
        <f>ROUND(SUM($B$53:B59)-SUM($D$53:D59)-SUM($H$53:H59),)</f>
        <v>44807</v>
      </c>
      <c r="J59" s="48">
        <f t="shared" si="21"/>
        <v>6401</v>
      </c>
      <c r="K59" s="49">
        <f>ROUND((B59-H59)*wsk!$F$11,2)</f>
        <v>504</v>
      </c>
      <c r="L59" s="49">
        <f>ROUND((B59-H59)*wsk!$F$12,2)</f>
        <v>65.03</v>
      </c>
      <c r="M59" s="49">
        <f t="shared" si="22"/>
        <v>569.03</v>
      </c>
      <c r="N59" s="49">
        <f t="shared" si="28"/>
        <v>44.17</v>
      </c>
      <c r="O59" s="49">
        <f>ROUND(IF(I59&gt;skala!$D$3,IF(I59&gt;skala!$D$8,IF(I58&lt;skala!$D$8,(skala!$D$8-I58)*0.3+(I59-skala!$D$8)*0.4,J59*0.4),IF(I58&lt;skala!$D$3,(skala!$D$3-I58)*0.19+(I59-skala!$D$3)*0.3,J59*0.3)),J59*0.19)-K59-N59,2)</f>
        <v>1372.13</v>
      </c>
      <c r="P59" s="48">
        <f t="shared" si="23"/>
        <v>4562.04</v>
      </c>
      <c r="Q59" s="49">
        <f>IF($C59&gt;wsk!$D$44,IF($C58&lt;wsk!$D$44,($C59-wsk!$D$44)*0.0976,0),$B59*0.0976)</f>
        <v>780.8000000000001</v>
      </c>
      <c r="R59" s="49">
        <f>IF($C59&gt;wsk!$F$44,IF($C58&lt;wsk!$F$44,($C59-wsk!$F$44)*wsk!$F$17,0),$B59*wsk!$F$17)</f>
        <v>520</v>
      </c>
      <c r="S59" s="49">
        <f>ROUND(B59*wsk!$F$18,2)</f>
        <v>154.4</v>
      </c>
      <c r="T59" s="49">
        <f>ROUND(B59*wsk!$F$19,2)</f>
        <v>12</v>
      </c>
      <c r="U59" s="49">
        <f>ROUND(B59*wsk!$F$20,2)</f>
        <v>196</v>
      </c>
      <c r="V59" s="48">
        <f t="shared" si="24"/>
        <v>1663.2000000000003</v>
      </c>
      <c r="W59" s="48">
        <f t="shared" si="25"/>
        <v>9663.2</v>
      </c>
    </row>
    <row r="60" spans="1:23" ht="12.75">
      <c r="A60" s="52" t="s">
        <v>80</v>
      </c>
      <c r="B60" s="53">
        <f t="shared" si="26"/>
        <v>8000</v>
      </c>
      <c r="C60" s="48">
        <f>SUM($B$53:B60)</f>
        <v>64000</v>
      </c>
      <c r="D60" s="54">
        <f t="shared" si="27"/>
        <v>102.25</v>
      </c>
      <c r="E60" s="54">
        <f>IF($C60&gt;wsk!$F$44,IF($C59&lt;wsk!$F$44,($C60-wsk!$F$44)*wsk!$F$8,0),$B60*wsk!$F$8)</f>
        <v>780.8000000000001</v>
      </c>
      <c r="F60" s="54">
        <f>IF($C60&gt;wsk!$F$44,IF($C59&lt;wsk!$F$44,($C60-wsk!$F$44)*wsk!$F$9,0),$B60*wsk!$F$9)</f>
        <v>520</v>
      </c>
      <c r="G60" s="54">
        <f>ROUND(B60*wsk!$F$10,2)</f>
        <v>196</v>
      </c>
      <c r="H60" s="54">
        <f t="shared" si="20"/>
        <v>1496.8000000000002</v>
      </c>
      <c r="I60" s="48">
        <f>ROUND(SUM($B$53:B60)-SUM($D$53:D60)-SUM($H$53:H60),)</f>
        <v>51208</v>
      </c>
      <c r="J60" s="53">
        <f t="shared" si="21"/>
        <v>6401</v>
      </c>
      <c r="K60" s="54">
        <f>ROUND((B60-H60)*wsk!$F$11,2)</f>
        <v>504</v>
      </c>
      <c r="L60" s="54">
        <f>ROUND((B60-H60)*wsk!$F$12,2)</f>
        <v>65.03</v>
      </c>
      <c r="M60" s="54">
        <f t="shared" si="22"/>
        <v>569.03</v>
      </c>
      <c r="N60" s="54">
        <f t="shared" si="28"/>
        <v>44.17</v>
      </c>
      <c r="O60" s="54">
        <f>ROUND(IF(I60&gt;skala!$D$3,IF(I60&gt;skala!$D$8,IF(I59&lt;skala!$D$8,(skala!$D$8-I59)*0.3+(I60-skala!$D$8)*0.4,J60*0.4),IF(I59&lt;skala!$D$3,(skala!$D$3-I59)*0.19+(I60-skala!$D$3)*0.3,J60*0.3)),J60*0.19)-K60-N60,2)</f>
        <v>1372.13</v>
      </c>
      <c r="P60" s="53">
        <f t="shared" si="23"/>
        <v>4562.04</v>
      </c>
      <c r="Q60" s="54">
        <f>IF($C60&gt;wsk!$D$44,IF($C59&lt;wsk!$D$44,($C60-wsk!$D$44)*0.0976,0),$B60*0.0976)</f>
        <v>780.8000000000001</v>
      </c>
      <c r="R60" s="54">
        <f>IF($C60&gt;wsk!$F$44,IF($C59&lt;wsk!$F$44,($C60-wsk!$F$44)*wsk!$F$17,0),$B60*wsk!$F$17)</f>
        <v>520</v>
      </c>
      <c r="S60" s="54">
        <f>ROUND(B60*wsk!$F$18,2)</f>
        <v>154.4</v>
      </c>
      <c r="T60" s="54">
        <f>ROUND(B60*wsk!$F$19,2)</f>
        <v>12</v>
      </c>
      <c r="U60" s="54">
        <f>ROUND(B60*wsk!$F$20,2)</f>
        <v>196</v>
      </c>
      <c r="V60" s="53">
        <f t="shared" si="24"/>
        <v>1663.2000000000003</v>
      </c>
      <c r="W60" s="53">
        <f t="shared" si="25"/>
        <v>9663.2</v>
      </c>
    </row>
    <row r="61" spans="1:23" ht="12.75">
      <c r="A61" s="47" t="s">
        <v>81</v>
      </c>
      <c r="B61" s="48">
        <f t="shared" si="26"/>
        <v>8000</v>
      </c>
      <c r="C61" s="48">
        <f>SUM($B$53:B61)</f>
        <v>72000</v>
      </c>
      <c r="D61" s="49">
        <f t="shared" si="27"/>
        <v>102.25</v>
      </c>
      <c r="E61" s="49">
        <f>IF($C61&gt;wsk!$F$44,IF($C60&lt;wsk!$F$44,($C61-wsk!$F$44)*wsk!$F$8,0),$B61*wsk!$F$8)</f>
        <v>780.8000000000001</v>
      </c>
      <c r="F61" s="49">
        <f>IF($C61&gt;wsk!$F$44,IF($C60&lt;wsk!$F$44,($C61-wsk!$F$44)*wsk!$F$9,0),$B61*wsk!$F$9)</f>
        <v>520</v>
      </c>
      <c r="G61" s="49">
        <f>ROUND(B61*wsk!$F$10,2)</f>
        <v>196</v>
      </c>
      <c r="H61" s="49">
        <f t="shared" si="20"/>
        <v>1496.8000000000002</v>
      </c>
      <c r="I61" s="48">
        <f>ROUND(SUM($B$53:B61)-SUM($D$53:D61)-SUM($H$53:H61),)</f>
        <v>57609</v>
      </c>
      <c r="J61" s="48">
        <f t="shared" si="21"/>
        <v>6401</v>
      </c>
      <c r="K61" s="49">
        <f>ROUND((B61-H61)*wsk!$F$11,2)</f>
        <v>504</v>
      </c>
      <c r="L61" s="49">
        <f>ROUND((B61-H61)*wsk!$F$12,2)</f>
        <v>65.03</v>
      </c>
      <c r="M61" s="49">
        <f t="shared" si="22"/>
        <v>569.03</v>
      </c>
      <c r="N61" s="49">
        <f t="shared" si="28"/>
        <v>44.17</v>
      </c>
      <c r="O61" s="49">
        <f>ROUND(IF(I61&gt;skala!$D$3,IF(I61&gt;skala!$D$8,IF(I60&lt;skala!$D$8,(skala!$D$8-I60)*0.3+(I61-skala!$D$8)*0.4,J61*0.4),IF(I60&lt;skala!$D$3,(skala!$D$3-I60)*0.19+(I61-skala!$D$3)*0.3,J61*0.3)),J61*0.19)-K61-N61,2)</f>
        <v>1372.13</v>
      </c>
      <c r="P61" s="48">
        <f t="shared" si="23"/>
        <v>4562.04</v>
      </c>
      <c r="Q61" s="49">
        <f>IF($C61&gt;wsk!$D$44,IF($C60&lt;wsk!$D$44,($C61-wsk!$D$44)*0.0976,0),$B61*0.0976)</f>
        <v>322.08000000000004</v>
      </c>
      <c r="R61" s="49">
        <f>IF($C61&gt;wsk!$F$44,IF($C60&lt;wsk!$F$44,($C61-wsk!$F$44)*wsk!$F$17,0),$B61*wsk!$F$17)</f>
        <v>520</v>
      </c>
      <c r="S61" s="49">
        <f>ROUND(B61*wsk!$F$18,2)</f>
        <v>154.4</v>
      </c>
      <c r="T61" s="49">
        <f>ROUND(B61*wsk!$F$19,2)</f>
        <v>12</v>
      </c>
      <c r="U61" s="49">
        <f>ROUND(B61*wsk!$F$20,2)</f>
        <v>196</v>
      </c>
      <c r="V61" s="48">
        <f t="shared" si="24"/>
        <v>1204.48</v>
      </c>
      <c r="W61" s="48">
        <f t="shared" si="25"/>
        <v>9204.48</v>
      </c>
    </row>
    <row r="62" spans="1:23" ht="12.75">
      <c r="A62" s="52" t="s">
        <v>82</v>
      </c>
      <c r="B62" s="53">
        <f t="shared" si="26"/>
        <v>8000</v>
      </c>
      <c r="C62" s="48">
        <f>SUM($B$53:B62)</f>
        <v>80000</v>
      </c>
      <c r="D62" s="54">
        <f t="shared" si="27"/>
        <v>102.25</v>
      </c>
      <c r="E62" s="54">
        <f>IF($C62&gt;wsk!$F$44,IF($C61&lt;wsk!$F$44,($C62-wsk!$F$44)*wsk!$F$8,0),$B62*wsk!$F$8)</f>
        <v>628.5440000000001</v>
      </c>
      <c r="F62" s="54">
        <f>IF($C62&gt;wsk!$F$44,IF($C61&lt;wsk!$F$44,($C62-wsk!$F$44)*wsk!$F$9,0),$B62*wsk!$F$9)</f>
        <v>418.6</v>
      </c>
      <c r="G62" s="54">
        <f>ROUND(B62*wsk!$F$10,2)</f>
        <v>196</v>
      </c>
      <c r="H62" s="54">
        <f t="shared" si="20"/>
        <v>1243.1440000000002</v>
      </c>
      <c r="I62" s="48">
        <f>ROUND(SUM($B$53:B62)-SUM($D$53:D62)-SUM($H$53:H62),)</f>
        <v>64263</v>
      </c>
      <c r="J62" s="53">
        <f t="shared" si="21"/>
        <v>6655</v>
      </c>
      <c r="K62" s="54">
        <f>ROUND((B62-H62)*wsk!$F$11,2)</f>
        <v>523.66</v>
      </c>
      <c r="L62" s="54">
        <f>ROUND((B62-H62)*wsk!$F$12,2)</f>
        <v>67.57</v>
      </c>
      <c r="M62" s="54">
        <f t="shared" si="22"/>
        <v>591.23</v>
      </c>
      <c r="N62" s="54">
        <f t="shared" si="28"/>
        <v>44.17</v>
      </c>
      <c r="O62" s="54">
        <f>ROUND(IF(I62&gt;skala!$D$3,IF(I62&gt;skala!$D$8,IF(I61&lt;skala!$D$8,(skala!$D$8-I61)*0.3+(I62-skala!$D$8)*0.4,J62*0.4),IF(I61&lt;skala!$D$3,(skala!$D$3-I61)*0.19+(I62-skala!$D$3)*0.3,J62*0.3)),J62*0.19)-K62-N62,2)</f>
        <v>1428.67</v>
      </c>
      <c r="P62" s="53">
        <f t="shared" si="23"/>
        <v>4736.956</v>
      </c>
      <c r="Q62" s="54">
        <f>IF($C62&gt;wsk!$D$44,IF($C61&lt;wsk!$D$44,($C62-wsk!$D$44)*0.0976,0),$B62*0.0976)</f>
        <v>0</v>
      </c>
      <c r="R62" s="54">
        <f>IF($C62&gt;wsk!$F$44,IF($C61&lt;wsk!$F$44,($C62-wsk!$F$44)*wsk!$F$17,0),$B62*wsk!$F$17)</f>
        <v>418.6</v>
      </c>
      <c r="S62" s="54">
        <f>ROUND(B62*wsk!$F$18,2)</f>
        <v>154.4</v>
      </c>
      <c r="T62" s="54">
        <f>ROUND(B62*wsk!$F$19,2)</f>
        <v>12</v>
      </c>
      <c r="U62" s="54">
        <f>ROUND(B62*wsk!$F$20,2)</f>
        <v>196</v>
      </c>
      <c r="V62" s="53">
        <f t="shared" si="24"/>
        <v>781</v>
      </c>
      <c r="W62" s="53">
        <f t="shared" si="25"/>
        <v>8781</v>
      </c>
    </row>
    <row r="63" spans="1:23" ht="12.75">
      <c r="A63" s="47" t="s">
        <v>83</v>
      </c>
      <c r="B63" s="48">
        <f t="shared" si="26"/>
        <v>8000</v>
      </c>
      <c r="C63" s="48">
        <f>SUM($B$53:B63)</f>
        <v>88000</v>
      </c>
      <c r="D63" s="49">
        <f t="shared" si="27"/>
        <v>102.25</v>
      </c>
      <c r="E63" s="49">
        <f>IF($C63&gt;wsk!$F$44,IF($C62&lt;wsk!$F$44,($C63-wsk!$F$44)*wsk!$F$8,0),$B63*wsk!$F$8)</f>
        <v>0</v>
      </c>
      <c r="F63" s="49">
        <f>IF($C63&gt;wsk!$F$44,IF($C62&lt;wsk!$F$44,($C63-wsk!$F$44)*wsk!$F$9,0),$B63*wsk!$F$9)</f>
        <v>0</v>
      </c>
      <c r="G63" s="49">
        <f>ROUND(B63*wsk!$F$10,2)</f>
        <v>196</v>
      </c>
      <c r="H63" s="49">
        <f t="shared" si="20"/>
        <v>196</v>
      </c>
      <c r="I63" s="48">
        <f>ROUND(SUM($B$53:B63)-SUM($D$53:D63)-SUM($H$53:H63),)</f>
        <v>71965</v>
      </c>
      <c r="J63" s="48">
        <f t="shared" si="21"/>
        <v>7702</v>
      </c>
      <c r="K63" s="49">
        <f>ROUND((B63-H63)*wsk!$F$11,2)</f>
        <v>604.81</v>
      </c>
      <c r="L63" s="49">
        <f>ROUND((B63-H63)*wsk!$F$12,2)</f>
        <v>78.04</v>
      </c>
      <c r="M63" s="49">
        <f t="shared" si="22"/>
        <v>682.8499999999999</v>
      </c>
      <c r="N63" s="49">
        <f t="shared" si="28"/>
        <v>44.17</v>
      </c>
      <c r="O63" s="49">
        <f>ROUND(IF(I63&gt;skala!$D$3,IF(I63&gt;skala!$D$8,IF(I62&lt;skala!$D$8,(skala!$D$8-I62)*0.3+(I63-skala!$D$8)*0.4,J63*0.4),IF(I62&lt;skala!$D$3,(skala!$D$3-I62)*0.19+(I63-skala!$D$3)*0.3,J63*0.3)),J63*0.19)-K63-N63,2)</f>
        <v>1661.62</v>
      </c>
      <c r="P63" s="48">
        <f t="shared" si="23"/>
        <v>5459.53</v>
      </c>
      <c r="Q63" s="49">
        <f>IF($C63&gt;wsk!$D$44,IF($C62&lt;wsk!$D$44,($C63-wsk!$D$44)*0.0976,0),$B63*0.0976)</f>
        <v>0</v>
      </c>
      <c r="R63" s="49">
        <f>IF($C63&gt;wsk!$F$44,IF($C62&lt;wsk!$F$44,($C63-wsk!$F$44)*wsk!$F$17,0),$B63*wsk!$F$17)</f>
        <v>0</v>
      </c>
      <c r="S63" s="49">
        <f>ROUND(B63*wsk!$F$18,2)</f>
        <v>154.4</v>
      </c>
      <c r="T63" s="49">
        <f>ROUND(B63*wsk!$F$19,2)</f>
        <v>12</v>
      </c>
      <c r="U63" s="49">
        <f>ROUND(B63*wsk!$F$20,2)</f>
        <v>196</v>
      </c>
      <c r="V63" s="48">
        <f t="shared" si="24"/>
        <v>362.4</v>
      </c>
      <c r="W63" s="48">
        <f t="shared" si="25"/>
        <v>8362.4</v>
      </c>
    </row>
    <row r="64" spans="1:23" ht="13.5" thickBot="1">
      <c r="A64" s="55" t="s">
        <v>84</v>
      </c>
      <c r="B64" s="56">
        <f t="shared" si="26"/>
        <v>8000</v>
      </c>
      <c r="C64" s="48">
        <f>SUM($B$53:B64)</f>
        <v>96000</v>
      </c>
      <c r="D64" s="57">
        <f t="shared" si="27"/>
        <v>102.25</v>
      </c>
      <c r="E64" s="57">
        <f>IF($C64&gt;wsk!$F$44,IF($C63&lt;wsk!$F$44,($C64-wsk!$F$44)*wsk!$F$8,0),$B64*wsk!$F$8)</f>
        <v>0</v>
      </c>
      <c r="F64" s="57">
        <f>IF($C64&gt;wsk!$F$44,IF($C63&lt;wsk!$F$44,($C64-wsk!$F$44)*wsk!$F$9,0),$B64*wsk!$F$9)</f>
        <v>0</v>
      </c>
      <c r="G64" s="57">
        <f>ROUND(B64*wsk!$F$10,2)</f>
        <v>196</v>
      </c>
      <c r="H64" s="57">
        <f t="shared" si="20"/>
        <v>196</v>
      </c>
      <c r="I64" s="48">
        <f>ROUND(SUM($B$53:B64)-SUM($D$53:D64)-SUM($H$53:H64),)</f>
        <v>79667</v>
      </c>
      <c r="J64" s="56">
        <f t="shared" si="21"/>
        <v>7702</v>
      </c>
      <c r="K64" s="57">
        <f>ROUND((B64-H64)*wsk!$F$11,2)</f>
        <v>604.81</v>
      </c>
      <c r="L64" s="57">
        <f>ROUND((B64-H64)*wsk!$F$12,2)</f>
        <v>78.04</v>
      </c>
      <c r="M64" s="57">
        <f t="shared" si="22"/>
        <v>682.8499999999999</v>
      </c>
      <c r="N64" s="57">
        <f t="shared" si="28"/>
        <v>44.17</v>
      </c>
      <c r="O64" s="57">
        <f>ROUND(IF(I64&gt;skala!$D$3,IF(I64&gt;skala!$D$8,IF(I63&lt;skala!$D$8,(skala!$D$8-I63)*0.3+(I64-skala!$D$8)*0.4,J64*0.4),IF(I63&lt;skala!$D$3,(skala!$D$3-I63)*0.19+(I64-skala!$D$3)*0.3,J64*0.3)),J64*0.19)-K64-N64,2)</f>
        <v>2223.52</v>
      </c>
      <c r="P64" s="56">
        <f t="shared" si="23"/>
        <v>4897.629999999999</v>
      </c>
      <c r="Q64" s="57">
        <f>IF($C64&gt;wsk!$D$44,IF($C63&lt;wsk!$D$44,($C64-wsk!$D$44)*0.0976,0),$B64*0.0976)</f>
        <v>0</v>
      </c>
      <c r="R64" s="57">
        <f>IF($C64&gt;wsk!$F$44,IF($C63&lt;wsk!$F$44,($C64-wsk!$F$44)*wsk!$F$17,0),$B64*wsk!$F$17)</f>
        <v>0</v>
      </c>
      <c r="S64" s="57">
        <f>ROUND(B64*wsk!$F$18,2)</f>
        <v>154.4</v>
      </c>
      <c r="T64" s="57">
        <f>ROUND(B64*wsk!$F$19,2)</f>
        <v>12</v>
      </c>
      <c r="U64" s="57">
        <f>ROUND(B64*wsk!$F$20,2)</f>
        <v>196</v>
      </c>
      <c r="V64" s="56">
        <f t="shared" si="24"/>
        <v>362.4</v>
      </c>
      <c r="W64" s="56">
        <f t="shared" si="25"/>
        <v>8362.4</v>
      </c>
    </row>
    <row r="65" spans="1:23" ht="13.5" thickBot="1">
      <c r="A65" s="60" t="s">
        <v>85</v>
      </c>
      <c r="B65" s="58">
        <f>SUM(B53:B64)</f>
        <v>96000</v>
      </c>
      <c r="C65" s="58">
        <f>C64</f>
        <v>96000</v>
      </c>
      <c r="D65" s="58">
        <f>SUM(D53:D64)</f>
        <v>1227</v>
      </c>
      <c r="E65" s="58">
        <f>SUM(E53:E64)</f>
        <v>7655.744000000001</v>
      </c>
      <c r="F65" s="58">
        <f>SUM(F53:F64)</f>
        <v>5098.6</v>
      </c>
      <c r="G65" s="58">
        <f>SUM(G53:G64)</f>
        <v>2352</v>
      </c>
      <c r="H65" s="58">
        <f>SUM(H53:H64)</f>
        <v>15106.344000000001</v>
      </c>
      <c r="I65" s="58">
        <f>I64</f>
        <v>79667</v>
      </c>
      <c r="J65" s="58">
        <f aca="true" t="shared" si="29" ref="J65:W65">SUM(J53:J64)</f>
        <v>79668</v>
      </c>
      <c r="K65" s="58">
        <f t="shared" si="29"/>
        <v>6269.279999999999</v>
      </c>
      <c r="L65" s="58">
        <f t="shared" si="29"/>
        <v>808.9199999999998</v>
      </c>
      <c r="M65" s="58">
        <f t="shared" si="29"/>
        <v>7078.199999999999</v>
      </c>
      <c r="N65" s="58">
        <f t="shared" si="29"/>
        <v>530.0400000000001</v>
      </c>
      <c r="O65" s="58">
        <f t="shared" si="29"/>
        <v>13590.34</v>
      </c>
      <c r="P65" s="58">
        <f t="shared" si="29"/>
        <v>60225.115999999995</v>
      </c>
      <c r="Q65" s="58">
        <f t="shared" si="29"/>
        <v>6568.4800000000005</v>
      </c>
      <c r="R65" s="58">
        <f t="shared" si="29"/>
        <v>5098.6</v>
      </c>
      <c r="S65" s="58">
        <f t="shared" si="29"/>
        <v>1852.8000000000004</v>
      </c>
      <c r="T65" s="58">
        <f t="shared" si="29"/>
        <v>144</v>
      </c>
      <c r="U65" s="58">
        <f t="shared" si="29"/>
        <v>2352</v>
      </c>
      <c r="V65" s="58">
        <f t="shared" si="29"/>
        <v>16015.880000000003</v>
      </c>
      <c r="W65" s="58">
        <f t="shared" si="29"/>
        <v>112015.87999999998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>
    <outlinePr summaryBelow="0"/>
  </sheetPr>
  <dimension ref="A1:F54"/>
  <sheetViews>
    <sheetView zoomScale="75" zoomScaleNormal="75" workbookViewId="0" topLeftCell="A1">
      <pane ySplit="1" topLeftCell="BM2" activePane="bottomLeft" state="frozen"/>
      <selection pane="topLeft" activeCell="N17" sqref="N17"/>
      <selection pane="bottomLeft" activeCell="N17" sqref="N17"/>
    </sheetView>
  </sheetViews>
  <sheetFormatPr defaultColWidth="9.140625" defaultRowHeight="12.75" outlineLevelRow="1"/>
  <cols>
    <col min="1" max="1" width="99.140625" style="10" customWidth="1"/>
    <col min="2" max="2" width="10.7109375" style="10" bestFit="1" customWidth="1"/>
    <col min="3" max="3" width="9.421875" style="10" bestFit="1" customWidth="1"/>
    <col min="4" max="4" width="10.421875" style="10" bestFit="1" customWidth="1"/>
    <col min="5" max="16384" width="9.140625" style="10" customWidth="1"/>
  </cols>
  <sheetData>
    <row r="1" spans="4:6" s="79" customFormat="1" ht="12.75">
      <c r="D1" s="79">
        <v>2004</v>
      </c>
      <c r="E1" s="79">
        <v>2005</v>
      </c>
      <c r="F1" s="79">
        <v>2006</v>
      </c>
    </row>
    <row r="2" ht="12.75">
      <c r="A2" s="61" t="s">
        <v>44</v>
      </c>
    </row>
    <row r="3" spans="1:4" ht="12.75" collapsed="1">
      <c r="A3" s="10" t="s">
        <v>28</v>
      </c>
      <c r="D3" s="11">
        <v>1</v>
      </c>
    </row>
    <row r="4" spans="1:4" ht="12.75" hidden="1" outlineLevel="1">
      <c r="A4" s="10" t="s">
        <v>29</v>
      </c>
      <c r="D4" s="81">
        <v>0.8279</v>
      </c>
    </row>
    <row r="5" spans="1:4" ht="12.75" hidden="1" outlineLevel="1">
      <c r="A5" s="10" t="s">
        <v>43</v>
      </c>
      <c r="D5" s="81">
        <v>0.5944</v>
      </c>
    </row>
    <row r="7" spans="1:2" ht="12.75">
      <c r="A7" s="9" t="s">
        <v>30</v>
      </c>
      <c r="B7" s="9"/>
    </row>
    <row r="8" spans="1:6" ht="12.75" outlineLevel="1">
      <c r="A8" s="10" t="s">
        <v>31</v>
      </c>
      <c r="D8" s="81">
        <v>0.0976</v>
      </c>
      <c r="F8" s="81">
        <f>F22/2</f>
        <v>0.0976</v>
      </c>
    </row>
    <row r="9" spans="1:6" ht="12.75" outlineLevel="1">
      <c r="A9" s="10" t="s">
        <v>32</v>
      </c>
      <c r="D9" s="81">
        <v>0.065</v>
      </c>
      <c r="F9" s="81">
        <f>F23/2</f>
        <v>0.065</v>
      </c>
    </row>
    <row r="10" spans="1:6" ht="12.75" outlineLevel="1">
      <c r="A10" s="10" t="s">
        <v>33</v>
      </c>
      <c r="D10" s="81">
        <v>0.0245</v>
      </c>
      <c r="F10" s="81">
        <f>F24</f>
        <v>0.0245</v>
      </c>
    </row>
    <row r="11" spans="1:6" ht="12.75" outlineLevel="1">
      <c r="A11" s="10" t="s">
        <v>34</v>
      </c>
      <c r="D11" s="81">
        <v>0.0775</v>
      </c>
      <c r="E11" s="81">
        <v>0.0775</v>
      </c>
      <c r="F11" s="81">
        <v>0.0775</v>
      </c>
    </row>
    <row r="12" spans="1:6" ht="12.75" outlineLevel="1">
      <c r="A12" s="10" t="s">
        <v>35</v>
      </c>
      <c r="D12" s="81">
        <v>0.005</v>
      </c>
      <c r="E12" s="81">
        <f>E26-E11</f>
        <v>0.007500000000000007</v>
      </c>
      <c r="F12" s="81">
        <f>F26-F11</f>
        <v>0.009999999999999995</v>
      </c>
    </row>
    <row r="13" spans="1:4" ht="12.75" outlineLevel="1">
      <c r="A13" s="10" t="s">
        <v>36</v>
      </c>
      <c r="D13" s="81">
        <v>0.0279</v>
      </c>
    </row>
    <row r="15" spans="1:2" ht="12.75">
      <c r="A15" s="9" t="s">
        <v>37</v>
      </c>
      <c r="B15" s="9"/>
    </row>
    <row r="16" spans="1:6" ht="12.75" outlineLevel="1">
      <c r="A16" s="10" t="s">
        <v>31</v>
      </c>
      <c r="D16" s="81">
        <v>0.0976</v>
      </c>
      <c r="F16" s="81">
        <f>F22/2</f>
        <v>0.0976</v>
      </c>
    </row>
    <row r="17" spans="1:6" ht="12.75" outlineLevel="1">
      <c r="A17" s="10" t="s">
        <v>32</v>
      </c>
      <c r="D17" s="81">
        <v>0.065</v>
      </c>
      <c r="F17" s="81">
        <f>F23/2</f>
        <v>0.065</v>
      </c>
    </row>
    <row r="18" spans="1:6" ht="12.75" outlineLevel="1">
      <c r="A18" s="10" t="s">
        <v>38</v>
      </c>
      <c r="D18" s="81">
        <v>0.0193</v>
      </c>
      <c r="F18" s="81">
        <v>0.0193</v>
      </c>
    </row>
    <row r="19" spans="1:6" ht="12.75" outlineLevel="1">
      <c r="A19" s="10" t="s">
        <v>39</v>
      </c>
      <c r="D19" s="81">
        <v>0.0015</v>
      </c>
      <c r="F19" s="81">
        <v>0.0015</v>
      </c>
    </row>
    <row r="20" spans="1:6" ht="12.75" outlineLevel="1">
      <c r="A20" s="10" t="s">
        <v>40</v>
      </c>
      <c r="D20" s="81">
        <v>0.0245</v>
      </c>
      <c r="F20" s="81">
        <v>0.0245</v>
      </c>
    </row>
    <row r="22" spans="1:6" ht="12.75">
      <c r="A22" s="10" t="s">
        <v>127</v>
      </c>
      <c r="D22" s="81">
        <f>SUM(D8,D16)</f>
        <v>0.1952</v>
      </c>
      <c r="F22" s="81">
        <v>0.1952</v>
      </c>
    </row>
    <row r="23" spans="1:6" ht="12.75">
      <c r="A23" s="10" t="s">
        <v>128</v>
      </c>
      <c r="D23" s="81">
        <f>SUM(D9,D17)</f>
        <v>0.13</v>
      </c>
      <c r="F23" s="81">
        <v>0.13</v>
      </c>
    </row>
    <row r="24" spans="1:6" ht="12.75">
      <c r="A24" s="10" t="s">
        <v>129</v>
      </c>
      <c r="D24" s="81">
        <f>SUM(D10)</f>
        <v>0.0245</v>
      </c>
      <c r="F24" s="81">
        <v>0.0245</v>
      </c>
    </row>
    <row r="25" spans="1:3" ht="12.75">
      <c r="A25" s="10" t="s">
        <v>130</v>
      </c>
      <c r="C25" s="4" t="s">
        <v>126</v>
      </c>
    </row>
    <row r="26" spans="1:6" ht="12.75">
      <c r="A26" s="10" t="s">
        <v>131</v>
      </c>
      <c r="D26" s="81">
        <f>SUM(D11:D12)</f>
        <v>0.0825</v>
      </c>
      <c r="E26" s="81">
        <v>0.085</v>
      </c>
      <c r="F26" s="81">
        <v>0.0875</v>
      </c>
    </row>
    <row r="28" spans="1:6" ht="12.75">
      <c r="A28" s="10" t="s">
        <v>132</v>
      </c>
      <c r="D28" s="10">
        <v>1361.96</v>
      </c>
      <c r="F28" s="10">
        <v>1408.34</v>
      </c>
    </row>
    <row r="29" spans="1:6" ht="12.75">
      <c r="A29" s="10" t="s">
        <v>136</v>
      </c>
      <c r="D29" s="10">
        <v>1822.13</v>
      </c>
      <c r="F29" s="10">
        <v>1871.73</v>
      </c>
    </row>
    <row r="31" ht="12.75">
      <c r="A31" s="10" t="s">
        <v>143</v>
      </c>
    </row>
    <row r="32" spans="1:6" ht="12.75" outlineLevel="1">
      <c r="A32" s="10" t="s">
        <v>133</v>
      </c>
      <c r="D32" s="10">
        <f>ROUND(D28*D22,2)</f>
        <v>265.85</v>
      </c>
      <c r="F32" s="10">
        <f>ROUND(F28*F22,2)</f>
        <v>274.91</v>
      </c>
    </row>
    <row r="33" spans="1:6" ht="12.75" outlineLevel="1">
      <c r="A33" s="10" t="s">
        <v>134</v>
      </c>
      <c r="D33" s="10">
        <f>ROUND(D28*D23,2)</f>
        <v>177.05</v>
      </c>
      <c r="F33" s="10">
        <f>ROUND(F28*F23,2)</f>
        <v>183.08</v>
      </c>
    </row>
    <row r="34" spans="1:6" ht="12.75" outlineLevel="1">
      <c r="A34" s="10" t="s">
        <v>135</v>
      </c>
      <c r="D34" s="10">
        <f>ROUND(D28*D24,2)</f>
        <v>33.37</v>
      </c>
      <c r="F34" s="10">
        <f>ROUND(F28*F24,2)</f>
        <v>34.5</v>
      </c>
    </row>
    <row r="35" spans="1:6" ht="12.75" outlineLevel="1">
      <c r="A35" s="10" t="s">
        <v>137</v>
      </c>
      <c r="D35" s="10">
        <f>ROUND(D29*D26,2)</f>
        <v>150.33</v>
      </c>
      <c r="F35" s="10">
        <f>ROUND(F29*F26,2)</f>
        <v>163.78</v>
      </c>
    </row>
    <row r="36" spans="1:6" ht="12.75" outlineLevel="1">
      <c r="A36" s="10" t="s">
        <v>141</v>
      </c>
      <c r="D36" s="10">
        <f>ROUND(D29*D11,2)</f>
        <v>141.22</v>
      </c>
      <c r="F36" s="10">
        <f>ROUND(F29*F11,2)</f>
        <v>145.06</v>
      </c>
    </row>
    <row r="37" spans="1:6" ht="12.75" outlineLevel="1">
      <c r="A37" s="10" t="s">
        <v>144</v>
      </c>
      <c r="B37" s="10" t="s">
        <v>142</v>
      </c>
      <c r="D37" s="10">
        <f>ROUND(D28*D20,2)</f>
        <v>33.37</v>
      </c>
      <c r="F37" s="10">
        <f>ROUND(F28*F20,2)</f>
        <v>34.5</v>
      </c>
    </row>
    <row r="38" spans="1:6" ht="12.75" outlineLevel="1">
      <c r="A38" s="10" t="s">
        <v>63</v>
      </c>
      <c r="D38" s="80">
        <f>ROUND(D28*D18,2)</f>
        <v>26.29</v>
      </c>
      <c r="F38" s="80">
        <f>ROUND(F28*F18,2)</f>
        <v>27.18</v>
      </c>
    </row>
    <row r="39" spans="1:6" ht="12.75" outlineLevel="1">
      <c r="A39" s="10" t="s">
        <v>86</v>
      </c>
      <c r="D39" s="82">
        <f>ROUND(D28*D19,2)</f>
        <v>2.04</v>
      </c>
      <c r="F39" s="82">
        <f>ROUND(F28*F19,2)</f>
        <v>2.11</v>
      </c>
    </row>
    <row r="41" spans="1:4" ht="12.75">
      <c r="A41" s="10" t="s">
        <v>146</v>
      </c>
      <c r="D41" s="10">
        <v>5674.83</v>
      </c>
    </row>
    <row r="42" ht="12.75">
      <c r="A42" s="10" t="s">
        <v>145</v>
      </c>
    </row>
    <row r="43" ht="12.75">
      <c r="A43" s="61"/>
    </row>
    <row r="44" spans="1:6" ht="12.75">
      <c r="A44" s="10" t="s">
        <v>140</v>
      </c>
      <c r="B44" s="80">
        <f>D44*(9.76%+6.5%)</f>
        <v>11170.619999999999</v>
      </c>
      <c r="C44" s="80">
        <v>65850</v>
      </c>
      <c r="D44" s="80">
        <v>68700</v>
      </c>
      <c r="E44" s="80">
        <v>72690</v>
      </c>
      <c r="F44" s="80">
        <v>73560</v>
      </c>
    </row>
    <row r="46" ht="12.75" collapsed="1">
      <c r="A46" s="10" t="s">
        <v>147</v>
      </c>
    </row>
    <row r="47" ht="12.75" hidden="1" outlineLevel="1">
      <c r="A47" s="10" t="s">
        <v>103</v>
      </c>
    </row>
    <row r="48" ht="12.75" hidden="1" outlineLevel="1">
      <c r="A48" s="10" t="s">
        <v>104</v>
      </c>
    </row>
    <row r="49" ht="12.75" hidden="1" outlineLevel="1">
      <c r="A49" s="10" t="s">
        <v>105</v>
      </c>
    </row>
    <row r="50" ht="12.75" hidden="1" outlineLevel="1">
      <c r="A50" s="10" t="s">
        <v>106</v>
      </c>
    </row>
    <row r="51" ht="12.75" hidden="1" outlineLevel="1">
      <c r="A51" s="10" t="s">
        <v>107</v>
      </c>
    </row>
    <row r="52" ht="12.75" hidden="1" outlineLevel="1">
      <c r="A52" s="10" t="s">
        <v>108</v>
      </c>
    </row>
    <row r="53" ht="12.75" hidden="1" outlineLevel="1">
      <c r="A53" s="10" t="s">
        <v>110</v>
      </c>
    </row>
    <row r="54" ht="12.75" hidden="1" outlineLevel="1">
      <c r="A54" s="10" t="s">
        <v>109</v>
      </c>
    </row>
    <row r="55" ht="12.75" hidden="1" outlineLevel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I26"/>
  <sheetViews>
    <sheetView zoomScale="75" zoomScaleNormal="75" workbookViewId="0" topLeftCell="A1">
      <selection activeCell="N17" sqref="N17"/>
    </sheetView>
  </sheetViews>
  <sheetFormatPr defaultColWidth="9.140625" defaultRowHeight="12.75"/>
  <cols>
    <col min="1" max="1" width="25.28125" style="67" bestFit="1" customWidth="1"/>
    <col min="2" max="2" width="26.421875" style="67" bestFit="1" customWidth="1"/>
    <col min="3" max="3" width="10.421875" style="67" bestFit="1" customWidth="1"/>
    <col min="4" max="4" width="10.00390625" style="67" bestFit="1" customWidth="1"/>
    <col min="5" max="5" width="10.140625" style="67" bestFit="1" customWidth="1"/>
    <col min="6" max="6" width="10.00390625" style="67" bestFit="1" customWidth="1"/>
    <col min="7" max="16384" width="9.140625" style="67" customWidth="1"/>
  </cols>
  <sheetData>
    <row r="1" spans="3:8" ht="12.75">
      <c r="C1" s="67">
        <v>2003</v>
      </c>
      <c r="D1" s="67">
        <v>2004</v>
      </c>
      <c r="E1" s="67">
        <v>2005</v>
      </c>
      <c r="F1" s="67">
        <v>2006</v>
      </c>
      <c r="G1" s="67">
        <v>2007</v>
      </c>
      <c r="H1" s="67">
        <v>2008</v>
      </c>
    </row>
    <row r="2" ht="12.75">
      <c r="A2" s="68" t="s">
        <v>125</v>
      </c>
    </row>
    <row r="3" spans="1:6" ht="12.75">
      <c r="A3" s="73" t="s">
        <v>113</v>
      </c>
      <c r="B3" s="73"/>
      <c r="C3" s="74">
        <v>37024</v>
      </c>
      <c r="D3" s="74">
        <v>37024</v>
      </c>
      <c r="E3" s="74">
        <v>37024</v>
      </c>
      <c r="F3" s="74">
        <v>37024</v>
      </c>
    </row>
    <row r="4" spans="1:6" ht="12.75">
      <c r="A4" s="67" t="s">
        <v>114</v>
      </c>
      <c r="C4" s="75">
        <v>0.19</v>
      </c>
      <c r="D4" s="75">
        <v>0.19</v>
      </c>
      <c r="E4" s="75">
        <v>0.19</v>
      </c>
      <c r="F4" s="75">
        <v>0.19</v>
      </c>
    </row>
    <row r="5" spans="1:9" ht="12.75">
      <c r="A5" s="67" t="s">
        <v>115</v>
      </c>
      <c r="C5" s="66">
        <v>530.08</v>
      </c>
      <c r="D5" s="66">
        <v>530.08</v>
      </c>
      <c r="E5" s="66">
        <v>530.08</v>
      </c>
      <c r="F5" s="66">
        <v>530.08</v>
      </c>
      <c r="I5" s="67" t="s">
        <v>138</v>
      </c>
    </row>
    <row r="6" spans="1:6" ht="12.75">
      <c r="A6" s="67" t="s">
        <v>121</v>
      </c>
      <c r="C6" s="69">
        <f>ROUND(C5/12,2)</f>
        <v>44.17</v>
      </c>
      <c r="D6" s="69">
        <f>ROUND(D5/12,2)</f>
        <v>44.17</v>
      </c>
      <c r="E6" s="69">
        <f>ROUND(E5/12,2)</f>
        <v>44.17</v>
      </c>
      <c r="F6" s="69">
        <f>ROUND(F5/12,2)</f>
        <v>44.17</v>
      </c>
    </row>
    <row r="7" spans="1:6" ht="12.75">
      <c r="A7" s="67" t="s">
        <v>118</v>
      </c>
      <c r="C7" s="69">
        <f>C4*C3-C5</f>
        <v>6504.4800000000005</v>
      </c>
      <c r="D7" s="69">
        <f>D4*D3-D5</f>
        <v>6504.4800000000005</v>
      </c>
      <c r="E7" s="69">
        <f>E4*E3-E5</f>
        <v>6504.4800000000005</v>
      </c>
      <c r="F7" s="69">
        <f>F4*F3-F5</f>
        <v>6504.4800000000005</v>
      </c>
    </row>
    <row r="8" spans="1:6" ht="12.75">
      <c r="A8" s="73" t="s">
        <v>116</v>
      </c>
      <c r="B8" s="73"/>
      <c r="C8" s="74">
        <v>74048</v>
      </c>
      <c r="D8" s="74">
        <f>D3*2</f>
        <v>74048</v>
      </c>
      <c r="E8" s="74">
        <f>E3*2</f>
        <v>74048</v>
      </c>
      <c r="F8" s="74">
        <f>F3*2</f>
        <v>74048</v>
      </c>
    </row>
    <row r="9" spans="1:6" ht="12.75">
      <c r="A9" s="67" t="s">
        <v>117</v>
      </c>
      <c r="C9" s="70">
        <v>0.3</v>
      </c>
      <c r="D9" s="70">
        <v>0.3</v>
      </c>
      <c r="E9" s="70">
        <v>0.3</v>
      </c>
      <c r="F9" s="70">
        <v>0.3</v>
      </c>
    </row>
    <row r="10" spans="1:6" ht="12.75">
      <c r="A10" s="67" t="s">
        <v>119</v>
      </c>
      <c r="C10" s="69">
        <f>C7+(C8-C3)*C9</f>
        <v>17611.68</v>
      </c>
      <c r="D10" s="69">
        <f>D7+(D8-D3)*D9</f>
        <v>17611.68</v>
      </c>
      <c r="E10" s="69">
        <f>E7+(E8-E3)*E9</f>
        <v>17611.68</v>
      </c>
      <c r="F10" s="69">
        <f>F7+(F8-F3)*F9</f>
        <v>17611.68</v>
      </c>
    </row>
    <row r="11" spans="1:6" ht="12.75">
      <c r="A11" s="67" t="s">
        <v>120</v>
      </c>
      <c r="C11" s="70">
        <v>0.4</v>
      </c>
      <c r="D11" s="70">
        <v>0.4</v>
      </c>
      <c r="E11" s="70">
        <v>0.4</v>
      </c>
      <c r="F11" s="70">
        <v>0.4</v>
      </c>
    </row>
    <row r="12" spans="1:6" ht="12.75">
      <c r="A12" s="71" t="s">
        <v>123</v>
      </c>
      <c r="C12" s="69">
        <v>2789.89</v>
      </c>
      <c r="D12" s="69">
        <v>2789.89</v>
      </c>
      <c r="E12" s="69">
        <v>2790</v>
      </c>
      <c r="F12" s="69">
        <f>ROUND(F5/F4,2)</f>
        <v>2789.89</v>
      </c>
    </row>
    <row r="13" spans="3:5" ht="12.75">
      <c r="C13" s="70"/>
      <c r="E13" s="72"/>
    </row>
    <row r="14" ht="12.75">
      <c r="A14" s="67" t="s">
        <v>124</v>
      </c>
    </row>
    <row r="15" ht="12.75">
      <c r="A15" s="67" t="s">
        <v>46</v>
      </c>
    </row>
    <row r="16" spans="2:6" ht="12.75">
      <c r="B16" s="67" t="s">
        <v>47</v>
      </c>
      <c r="E16" s="69">
        <v>102.25</v>
      </c>
      <c r="F16" s="69">
        <v>102.25</v>
      </c>
    </row>
    <row r="17" spans="2:5" ht="12.75">
      <c r="B17" s="67" t="s">
        <v>48</v>
      </c>
      <c r="E17" s="69">
        <f>E16*12</f>
        <v>1227</v>
      </c>
    </row>
    <row r="18" spans="1:5" ht="12.75">
      <c r="A18" s="67" t="s">
        <v>49</v>
      </c>
      <c r="B18" s="67" t="s">
        <v>50</v>
      </c>
      <c r="E18" s="69">
        <v>1840.77</v>
      </c>
    </row>
    <row r="19" ht="12.75">
      <c r="E19" s="69"/>
    </row>
    <row r="20" spans="1:5" ht="12.75">
      <c r="A20" s="67" t="s">
        <v>51</v>
      </c>
      <c r="E20" s="69"/>
    </row>
    <row r="21" spans="2:5" ht="12.75">
      <c r="B21" s="67" t="s">
        <v>47</v>
      </c>
      <c r="E21" s="69">
        <v>127.82</v>
      </c>
    </row>
    <row r="22" spans="2:5" ht="12.75">
      <c r="B22" s="67" t="s">
        <v>48</v>
      </c>
      <c r="E22" s="69">
        <f>E21*12</f>
        <v>1533.84</v>
      </c>
    </row>
    <row r="23" spans="1:5" ht="12.75">
      <c r="A23" s="67" t="s">
        <v>52</v>
      </c>
      <c r="B23" s="67" t="s">
        <v>50</v>
      </c>
      <c r="E23" s="69">
        <v>2300.94</v>
      </c>
    </row>
    <row r="25" spans="1:6" ht="12.75">
      <c r="A25" s="67" t="s">
        <v>58</v>
      </c>
      <c r="E25" s="70">
        <v>0.2</v>
      </c>
      <c r="F25" s="70">
        <v>0.2</v>
      </c>
    </row>
    <row r="26" spans="1:5" ht="12.75">
      <c r="A26" s="67" t="s">
        <v>139</v>
      </c>
      <c r="E26" s="70">
        <v>0.5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zoomScale="75" zoomScaleNormal="75" workbookViewId="0" topLeftCell="A1">
      <selection activeCell="N17" sqref="N17"/>
    </sheetView>
  </sheetViews>
  <sheetFormatPr defaultColWidth="9.140625" defaultRowHeight="12.75"/>
  <cols>
    <col min="1" max="1" width="9.140625" style="40" customWidth="1"/>
    <col min="2" max="2" width="32.57421875" style="40" bestFit="1" customWidth="1"/>
    <col min="3" max="16384" width="9.140625" style="40" customWidth="1"/>
  </cols>
  <sheetData>
    <row r="2" ht="12.75">
      <c r="A2" s="62" t="s">
        <v>94</v>
      </c>
    </row>
    <row r="3" ht="12.75">
      <c r="A3" s="63" t="s">
        <v>45</v>
      </c>
    </row>
    <row r="5" ht="12.75">
      <c r="A5" s="40" t="s">
        <v>122</v>
      </c>
    </row>
    <row r="6" spans="2:3" ht="12.75">
      <c r="B6" s="64">
        <v>600000</v>
      </c>
      <c r="C6" s="65" t="s">
        <v>93</v>
      </c>
    </row>
    <row r="8" ht="12.75">
      <c r="A8" s="40" t="s">
        <v>148</v>
      </c>
    </row>
    <row r="9" ht="12.75">
      <c r="B9" s="12" t="s">
        <v>62</v>
      </c>
    </row>
  </sheetData>
  <hyperlinks>
    <hyperlink ref="B9" r:id="rId1" display="http://www.zus.pl/niusy/inf008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Cieslik</dc:creator>
  <cp:keywords/>
  <dc:description/>
  <cp:lastModifiedBy>Jerzy Cieslik</cp:lastModifiedBy>
  <dcterms:created xsi:type="dcterms:W3CDTF">2004-12-07T21:59:14Z</dcterms:created>
  <dcterms:modified xsi:type="dcterms:W3CDTF">2006-03-23T11:36:53Z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-831793860</vt:i4>
  </property>
  <property fmtid="{D5CDD505-2E9C-101B-9397-08002B2CF9AE}" pid="3" name="_EmailSubject">
    <vt:lpwstr>kp</vt:lpwstr>
  </property>
  <property fmtid="{D5CDD505-2E9C-101B-9397-08002B2CF9AE}" pid="4" name="_AuthorEmail">
    <vt:lpwstr>akdg@onet.pl</vt:lpwstr>
  </property>
  <property fmtid="{D5CDD505-2E9C-101B-9397-08002B2CF9AE}" pid="5" name="_AuthorEmailDisplayName">
    <vt:lpwstr>Adam Kostrzewa</vt:lpwstr>
  </property>
  <property fmtid="{D5CDD505-2E9C-101B-9397-08002B2CF9AE}" pid="6" name="_PreviousAdHocReviewCycleID">
    <vt:i4>85852264</vt:i4>
  </property>
  <property fmtid="{D5CDD505-2E9C-101B-9397-08002B2CF9AE}" pid="7" name="_ReviewingToolsShownOnce">
    <vt:lpwstr/>
  </property>
</Properties>
</file>